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1hE+EIoRd8M9KCH25rLADMZtQfho8Xkmebqjuat7K9b9o3fEIkbE6+xF8AWR5gFOZvx7kXBWSqS7JEzBhhDtA==" workbookSaltValue="cMY4bzccc/vghHHtTqPz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4" i="17" s="1"/>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AY20" i="8" s="1"/>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BG16" i="8"/>
  <c r="K16" i="7" s="1"/>
  <c r="AH14" i="16"/>
  <c r="T14" i="20"/>
  <c r="T20" i="17"/>
  <c r="BF16" i="13"/>
  <c r="BG16" i="13"/>
  <c r="BB20" i="13"/>
  <c r="BE17" i="13"/>
  <c r="BE16" i="13"/>
  <c r="BF17" i="13"/>
  <c r="K22" i="20"/>
  <c r="AA22" i="20"/>
  <c r="U17" i="11"/>
  <c r="W22" i="20"/>
  <c r="U10" i="11"/>
  <c r="W22" i="21"/>
  <c r="AF22" i="20"/>
  <c r="U18" i="11"/>
  <c r="AL22" i="20"/>
  <c r="AE22" i="20"/>
  <c r="AG22" i="20"/>
  <c r="L22" i="20"/>
  <c r="M22" i="20"/>
  <c r="N22" i="20"/>
  <c r="Y22" i="20"/>
  <c r="AC22" i="20"/>
  <c r="U12" i="11"/>
  <c r="AQ22" i="21"/>
  <c r="AQ22" i="20"/>
  <c r="G14" i="14"/>
  <c r="BF18" i="8" l="1"/>
  <c r="AE21" i="8"/>
  <c r="BA14" i="8"/>
  <c r="BG10" i="8"/>
  <c r="R21" i="8"/>
  <c r="AY14" i="8"/>
  <c r="F13" i="2"/>
  <c r="M20" i="2"/>
  <c r="N20" i="2"/>
  <c r="R8" i="9"/>
  <c r="BG16" i="11" s="1"/>
  <c r="F11" i="16"/>
  <c r="BL11" i="16" s="1"/>
  <c r="AQ14" i="21"/>
  <c r="BJ12" i="11"/>
  <c r="S9" i="14"/>
  <c r="V9" i="14" s="1"/>
  <c r="AP17" i="20"/>
  <c r="BL19" i="11"/>
  <c r="BK13" i="11"/>
  <c r="BM17" i="11"/>
  <c r="V11" i="16"/>
  <c r="BH19" i="11"/>
  <c r="AZ19" i="11"/>
  <c r="AP10" i="2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G10" i="11"/>
  <c r="BH16" i="16"/>
  <c r="BK19" i="11"/>
  <c r="BK9" i="11"/>
  <c r="V12" i="21"/>
  <c r="V18" i="16"/>
  <c r="S9" i="17"/>
  <c r="S13" i="17"/>
  <c r="S12" i="14"/>
  <c r="V12"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Z22" i="20"/>
  <c r="O18" i="11"/>
  <c r="AX22" i="20"/>
  <c r="G20" i="14"/>
  <c r="O10" i="11"/>
  <c r="X22" i="20"/>
  <c r="AN22" i="20"/>
  <c r="T22" i="20"/>
  <c r="AD22" i="20"/>
  <c r="AP22" i="20"/>
  <c r="AI22" i="20"/>
  <c r="Q22" i="20"/>
  <c r="T22" i="21"/>
  <c r="H22" i="20"/>
  <c r="I12" i="12" l="1"/>
  <c r="BF20" i="13"/>
  <c r="K9" i="12"/>
  <c r="T9" i="11"/>
  <c r="BK16" i="11"/>
  <c r="BF10" i="11"/>
  <c r="BF18" i="11"/>
  <c r="Q18" i="20"/>
  <c r="Q20" i="20" s="1"/>
  <c r="BH18" i="16"/>
  <c r="BL9" i="11"/>
  <c r="Q9" i="11" s="1"/>
  <c r="BH9" i="16"/>
  <c r="X12" i="21"/>
  <c r="BI19" i="11"/>
  <c r="BM12" i="11"/>
  <c r="BI16" i="11"/>
  <c r="BV9" i="16"/>
  <c r="S10" i="17"/>
  <c r="V13" i="11"/>
  <c r="BM13" i="11"/>
  <c r="BL11" i="11"/>
  <c r="BG19" i="11"/>
  <c r="T18" i="16"/>
  <c r="BU16" i="17"/>
  <c r="BW9" i="20"/>
  <c r="BW13" i="20"/>
  <c r="BW17" i="20"/>
  <c r="U13" i="17"/>
  <c r="U10" i="17"/>
  <c r="BU18" i="17"/>
  <c r="BU17" i="17"/>
  <c r="S11" i="14"/>
  <c r="V11" i="14" s="1"/>
  <c r="BG12" i="11"/>
  <c r="BH10" i="11"/>
  <c r="AQ10" i="21"/>
  <c r="BH10" i="16"/>
  <c r="BM18" i="11"/>
  <c r="BH17" i="11"/>
  <c r="BJ17" i="11"/>
  <c r="BJ20" i="11" s="1"/>
  <c r="S17" i="17"/>
  <c r="L13" i="2"/>
  <c r="X16" i="16"/>
  <c r="X20" i="16" s="1"/>
  <c r="AP16" i="20"/>
  <c r="BL13" i="11"/>
  <c r="BM16" i="11"/>
  <c r="T16" i="16"/>
  <c r="BV19" i="16"/>
  <c r="BV13" i="16"/>
  <c r="BV17" i="16"/>
  <c r="BV16" i="16"/>
  <c r="BW11" i="20"/>
  <c r="BV10" i="16"/>
  <c r="V12" i="16"/>
  <c r="AA16" i="16"/>
  <c r="T17" i="11"/>
  <c r="Q18" i="17"/>
  <c r="BI9" i="11"/>
  <c r="Q16" i="17"/>
  <c r="Q20" i="17" s="1"/>
  <c r="BF16" i="11"/>
  <c r="AQ12" i="21"/>
  <c r="BL17" i="11"/>
  <c r="L17" i="2"/>
  <c r="X10" i="21"/>
  <c r="V10" i="16"/>
  <c r="X13" i="16"/>
  <c r="K17" i="12"/>
  <c r="I12" i="7"/>
  <c r="C14" i="6"/>
  <c r="AB21" i="21"/>
  <c r="H21" i="21"/>
  <c r="K19" i="12"/>
  <c r="I11" i="12"/>
  <c r="AV14" i="16"/>
  <c r="BG14" i="13"/>
  <c r="AK21" i="13"/>
  <c r="BC21" i="13"/>
  <c r="BD14" i="13"/>
  <c r="BM21" i="13"/>
  <c r="AD21" i="13"/>
  <c r="AI21" i="13"/>
  <c r="L21" i="13"/>
  <c r="N21" i="13"/>
  <c r="BD10" i="13"/>
  <c r="K16" i="12"/>
  <c r="K10" i="12"/>
  <c r="Q13" i="11"/>
  <c r="I9" i="12"/>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J22" i="20"/>
  <c r="S22" i="20"/>
  <c r="AW22" i="11"/>
  <c r="AV22" i="21"/>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<sst xmlns="http://schemas.openxmlformats.org/spreadsheetml/2006/main" count="2201" uniqueCount="970">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</sst>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968</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rU8fwes+R6eVFhBrYF/0gTHibuOGcGo4wLfjHn4VRF/TkC6Au3D8l73Xln4Z0MN60J4lQDyZDk+uiddOAoFZw==" saltValue="wp8acyqkLCSs9p9BtPAb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45.110941086457537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93</v>
      </c>
      <c r="D10" s="230">
        <f>IF(ISNUMBER(Datos!I10),Datos!I10," - ")</f>
        <v>93</v>
      </c>
      <c r="E10" s="231">
        <f>IF(ISNUMBER(Datos!J10),Datos!J10," - ")</f>
        <v>5</v>
      </c>
      <c r="F10" s="231">
        <f>IF(ISNUMBER(Datos!K10),Datos!K10," - ")</f>
        <v>6</v>
      </c>
      <c r="G10" s="1193" t="str">
        <f>IF(Datos!E10&lt;&gt;"",Datos!E10,Datos!D10)</f>
        <v>37</v>
      </c>
      <c r="H10" s="232">
        <f>IF(ISNUMBER(Datos!L10),Datos!L10," - ")</f>
        <v>92</v>
      </c>
      <c r="I10" s="1203" t="str">
        <f>IF(ISNUMBER(Datos!AS10/Datos!BM10),Datos!AS10/Datos!BM10," - ")</f>
        <v xml:space="preserve"> - </v>
      </c>
      <c r="J10" s="1204">
        <f>IF(ISNUMBER(Datos!BY10/Datos!CN10),Datos!BY10/Datos!CN10," - ")</f>
        <v>0</v>
      </c>
      <c r="K10" s="235">
        <f t="shared" ref="K10:K13" si="1">IF(ISNUMBER((E10-F10)/C10),(E10-F10)/C10," - ")</f>
        <v>-1.0752688172043012E-2</v>
      </c>
      <c r="L10" s="1205">
        <f>IF(ISNUMBER(NºAsuntos!I10/NºAsuntos!G10),(NºAsuntos!I10/NºAsuntos!G10)*11," - ")</f>
        <v>168.66666666666669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44.643274853801167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93</v>
      </c>
      <c r="D14" s="1210">
        <f>SUBTOTAL(9,D9:D13)</f>
        <v>93</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2304</v>
      </c>
      <c r="D16" s="230">
        <f>IF(ISNUMBER(IF(D_I="SI",Datos!I16,Datos!I16+Datos!AC16)),IF(D_I="SI",Datos!I16,Datos!I16+Datos!AC16)," - ")</f>
        <v>2304</v>
      </c>
      <c r="E16" s="231">
        <f>IF(ISNUMBER(IF(D_I="SI",Datos!J16,Datos!J16+Datos!AD16)),IF(D_I="SI",Datos!J16,Datos!J16+Datos!AD16)," - ")</f>
        <v>1430</v>
      </c>
      <c r="F16" s="231">
        <f>IF(ISNUMBER(IF(D_I="SI",Datos!K16,Datos!K16+Datos!AE16)),IF(D_I="SI",Datos!K16,Datos!K16+Datos!AE16)," - ")</f>
        <v>1082</v>
      </c>
      <c r="G16" s="1193" t="str">
        <f>IF(Datos!E16&lt;&gt;"",Datos!E16,Datos!D16)</f>
        <v>03</v>
      </c>
      <c r="H16" s="232">
        <f>IF(ISNUMBER(IF(D_I="SI",Datos!L16,Datos!L16+Datos!AF16)),IF(D_I="SI",Datos!L16,Datos!L16+Datos!AF16)," - ")</f>
        <v>2652</v>
      </c>
      <c r="I16" s="1203" t="str">
        <f>IF(ISNUMBER(Datos!AS16/Datos!BM16),Datos!AS16/Datos!BM16," - ")</f>
        <v xml:space="preserve"> - </v>
      </c>
      <c r="J16" s="1204">
        <f>IF(ISNUMBER(Datos!BY16/Datos!CN16),Datos!BY16/Datos!CN16," - ")</f>
        <v>0</v>
      </c>
      <c r="K16" s="235">
        <f t="shared" ref="K16:K19" si="3">IF(ISNUMBER((E16-F16)/C16),(E16-F16)/C16," - ")</f>
        <v>0.15104166666666666</v>
      </c>
      <c r="L16" s="1205">
        <f>IF(ISNUMBER(NºAsuntos!I16/NºAsuntos!G16),(NºAsuntos!I16/NºAsuntos!G16)*11," - ")</f>
        <v>26.961182994454713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656</v>
      </c>
      <c r="D17" s="230">
        <f>IF(ISNUMBER(IF(D_I="SI",Datos!I17,Datos!I17+Datos!AC17)),IF(D_I="SI",Datos!I17,Datos!I17+Datos!AC17)," - ")</f>
        <v>652</v>
      </c>
      <c r="E17" s="231">
        <f>IF(ISNUMBER(IF(D_I="SI",Datos!J17,Datos!J17+Datos!AD17)),IF(D_I="SI",Datos!J17,Datos!J17+Datos!AD17)," - ")</f>
        <v>36</v>
      </c>
      <c r="F17" s="231">
        <f>IF(ISNUMBER(IF(D_I="SI",Datos!K17,Datos!K17+Datos!AE17)),IF(D_I="SI",Datos!K17,Datos!K17+Datos!AE17)," - ")</f>
        <v>324</v>
      </c>
      <c r="G17" s="1193" t="str">
        <f>IF(Datos!E17&lt;&gt;"",Datos!E17,Datos!D17)</f>
        <v>04</v>
      </c>
      <c r="H17" s="232">
        <f>IF(ISNUMBER(IF(D_I="SI",Datos!L17,Datos!L17+Datos!AF17)),IF(D_I="SI",Datos!L17,Datos!L17+Datos!AF17)," - ")</f>
        <v>368</v>
      </c>
      <c r="I17" s="1203" t="str">
        <f>IF(ISNUMBER(Datos!AS17/Datos!BM17),Datos!AS17/Datos!BM17," - ")</f>
        <v xml:space="preserve"> - </v>
      </c>
      <c r="J17" s="1204">
        <f>IF(ISNUMBER(Datos!BY17/Datos!CN17),Datos!BY17/Datos!CN17," - ")</f>
        <v>0</v>
      </c>
      <c r="K17" s="235">
        <f t="shared" si="3"/>
        <v>-0.43902439024390244</v>
      </c>
      <c r="L17" s="1205">
        <f>IF(ISNUMBER(NºAsuntos!I17/NºAsuntos!G17),(NºAsuntos!I17/NºAsuntos!G17)*11," - ")</f>
        <v>12.493827160493826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97</v>
      </c>
      <c r="D18" s="230">
        <f>IF(ISNUMBER(IF(D_I="SI",Datos!I18,Datos!I18+Datos!AC18)),IF(D_I="SI",Datos!I18,Datos!I18+Datos!AC18)," - ")</f>
        <v>97</v>
      </c>
      <c r="E18" s="231">
        <f>IF(ISNUMBER(IF(D_I="SI",Datos!J18,Datos!J18+Datos!AD18)),IF(D_I="SI",Datos!J18,Datos!J18+Datos!AD18)," - ")</f>
        <v>66</v>
      </c>
      <c r="F18" s="231">
        <f>IF(ISNUMBER(IF(D_I="SI",Datos!K18,Datos!K18+Datos!AE18)),IF(D_I="SI",Datos!K18,Datos!K18+Datos!AE18)," - ")</f>
        <v>75</v>
      </c>
      <c r="G18" s="1193" t="str">
        <f>IF(Datos!E18&lt;&gt;"",Datos!E18,Datos!D18)</f>
        <v>37</v>
      </c>
      <c r="H18" s="232">
        <f>IF(ISNUMBER(IF(D_I="SI",Datos!L18,Datos!L18+Datos!AF18)),IF(D_I="SI",Datos!L18,Datos!L18+Datos!AF18)," - ")</f>
        <v>88</v>
      </c>
      <c r="I18" s="1203" t="str">
        <f>IF(ISNUMBER(Datos!AS18/Datos!BM18),Datos!AS18/Datos!BM18," - ")</f>
        <v xml:space="preserve"> - </v>
      </c>
      <c r="J18" s="1204" t="str">
        <f>IF(ISNUMBER((Datos!BY18+Datos!BZ18)/Datos!CN18),(Datos!BY18+Datos!BZ18)/Datos!CN18," - ")</f>
        <v xml:space="preserve"> - </v>
      </c>
      <c r="K18" s="235">
        <f t="shared" si="3"/>
        <v>-9.2783505154639179E-2</v>
      </c>
      <c r="L18" s="1205">
        <f>IF(ISNUMBER(NºAsuntos!I18/NºAsuntos!G18),(NºAsuntos!I18/NºAsuntos!G18)*11," - ")</f>
        <v>12.906666666666666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3057</v>
      </c>
      <c r="D20" s="1210">
        <f>SUBTOTAL(9,D16:D19)</f>
        <v>3053</v>
      </c>
      <c r="E20" s="1211">
        <f>SUBTOTAL(9,E16:E19)</f>
        <v>1532</v>
      </c>
      <c r="F20" s="1211">
        <f>SUBTOTAL(9,F16:F19)</f>
        <v>1481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3150</v>
      </c>
      <c r="D21" s="1232">
        <f>SUBTOTAL(9,D9:D20)</f>
        <v>3146</v>
      </c>
      <c r="E21" s="1233">
        <f>SUBTOTAL(9,E9:E20)</f>
        <v>1537</v>
      </c>
      <c r="F21" s="1233">
        <f>SUBTOTAL(9,F9:F20)</f>
        <v>1487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qq84goz2K6Y95oXmMS7MacW5hZOGa18veueOab9hQQIOJoeqKJd+9M/APpKgScCkwURi+mWwQE+gqcGSesVEog==" saltValue="qTzOiXiiq1gqZQHF023tp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TBllDXATtzAhp6dh9b2iYX45vQjqfl+uQSbwYgz0dAL+JsEh5bRa+W/CWyR73l4JwjFd23WJAls6s0yQJPmyQ==" saltValue="pOTwIQ12ywHteNiCrrC8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4853</v>
      </c>
      <c r="J9" s="186">
        <v>1420</v>
      </c>
      <c r="K9" s="186">
        <v>1187</v>
      </c>
      <c r="L9" s="186">
        <v>5024</v>
      </c>
      <c r="M9" s="186">
        <v>363</v>
      </c>
      <c r="N9" s="186">
        <v>394</v>
      </c>
      <c r="O9" s="186">
        <v>311</v>
      </c>
      <c r="P9" s="186">
        <v>218</v>
      </c>
      <c r="Q9" s="186">
        <v>85</v>
      </c>
      <c r="R9" s="186">
        <v>6237</v>
      </c>
      <c r="S9" s="186">
        <v>4006</v>
      </c>
      <c r="T9" s="186">
        <v>1347</v>
      </c>
      <c r="U9" s="186">
        <v>1559</v>
      </c>
      <c r="V9" s="186">
        <v>3794</v>
      </c>
      <c r="W9" s="186">
        <v>648</v>
      </c>
      <c r="X9" s="193">
        <v>564</v>
      </c>
      <c r="Y9" s="196">
        <v>359</v>
      </c>
      <c r="Z9" s="186">
        <v>136</v>
      </c>
      <c r="AA9" s="186">
        <v>120</v>
      </c>
      <c r="AB9" s="186">
        <v>336</v>
      </c>
      <c r="AC9" s="186">
        <v>0</v>
      </c>
      <c r="AD9" s="186">
        <v>0</v>
      </c>
      <c r="AE9" s="186">
        <v>0</v>
      </c>
      <c r="AF9" s="193">
        <v>0</v>
      </c>
      <c r="AG9" s="196">
        <v>223</v>
      </c>
      <c r="AH9" s="186">
        <v>70</v>
      </c>
      <c r="AI9" s="186">
        <v>86</v>
      </c>
      <c r="AJ9" s="197">
        <v>207</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4229</v>
      </c>
      <c r="AZ9" s="125">
        <f>IF(ISNUMBER(IF(J_V="SI",T9,T9+AH9)),IF(J_V="SI",T9,T9+AH9)," - ")</f>
        <v>1417</v>
      </c>
      <c r="BA9" s="126">
        <f>IF(ISNUMBER(IF(J_V="SI",U9,U9+AI9)),IF(J_V="SI",U9,U9+AI9)," - ")</f>
        <v>1645</v>
      </c>
      <c r="BB9" s="126">
        <f>IF(ISNUMBER(IF(J_V="SI",V9,V9+AJ9)),IF(J_V="SI",V9,V9+AJ9)," - ")</f>
        <v>4001</v>
      </c>
      <c r="BC9" s="127">
        <f>IF(ISNUMBER(X9),X9," - ")</f>
        <v>564</v>
      </c>
      <c r="BD9" s="128">
        <f>IF(ISNUMBER(BA9/AZ9),BA9/AZ9," - ")</f>
        <v>1.1609033168666196</v>
      </c>
      <c r="BE9" s="129">
        <f>IF(ISNUMBER(BB9/BA9),BB9/BA9, " - ")</f>
        <v>2.4322188449848023</v>
      </c>
      <c r="BF9" s="129">
        <f>IF(ISNUMBER(BC9/BA9),BC9/BA9, " - ")</f>
        <v>0.34285714285714286</v>
      </c>
      <c r="BG9" s="201">
        <f>IF(ISNUMBER((AY9+AZ9)/BA9),(AY9+AZ9)/BA9," - ")</f>
        <v>3.4322188449848023</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93</v>
      </c>
      <c r="J10" s="186">
        <v>5</v>
      </c>
      <c r="K10" s="186">
        <v>6</v>
      </c>
      <c r="L10" s="186">
        <v>92</v>
      </c>
      <c r="M10" s="186">
        <v>0</v>
      </c>
      <c r="N10" s="186">
        <v>0</v>
      </c>
      <c r="O10" s="186">
        <v>0</v>
      </c>
      <c r="P10" s="186">
        <v>0</v>
      </c>
      <c r="Q10" s="186">
        <v>2</v>
      </c>
      <c r="R10" s="186">
        <v>21</v>
      </c>
      <c r="S10" s="186">
        <v>88</v>
      </c>
      <c r="T10" s="186">
        <v>16</v>
      </c>
      <c r="U10" s="186">
        <v>12</v>
      </c>
      <c r="V10" s="186">
        <v>92</v>
      </c>
      <c r="W10" s="186">
        <v>5</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88</v>
      </c>
      <c r="AZ10" s="131">
        <f t="shared" si="0"/>
        <v>16</v>
      </c>
      <c r="BA10" s="131">
        <f t="shared" si="0"/>
        <v>12</v>
      </c>
      <c r="BB10" s="131">
        <f t="shared" si="0"/>
        <v>92</v>
      </c>
      <c r="BC10" s="127">
        <f t="shared" si="0"/>
        <v>5</v>
      </c>
      <c r="BD10" s="128">
        <f>IF(ISNUMBER(BA10/AZ10),BA10/AZ10," - ")</f>
        <v>0.75</v>
      </c>
      <c r="BE10" s="129">
        <f>IF(ISNUMBER(BB10/BA10),BB10/BA10, " - ")</f>
        <v>7.666666666666667</v>
      </c>
      <c r="BF10" s="129">
        <f>IF(ISNUMBER(BC10/BA10),BC10/BA10, " - ")</f>
        <v>0.41666666666666669</v>
      </c>
      <c r="BG10" s="201">
        <f>IF(ISNUMBER((AY10+AZ10)/BA10),(AY10+AZ10)/BA10," - ")</f>
        <v>8.6666666666666661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772</v>
      </c>
      <c r="J12" s="188">
        <v>8</v>
      </c>
      <c r="K12" s="188">
        <v>126</v>
      </c>
      <c r="L12" s="188">
        <v>654</v>
      </c>
      <c r="M12" s="188">
        <v>41</v>
      </c>
      <c r="N12" s="188">
        <v>32</v>
      </c>
      <c r="O12" s="186">
        <v>40</v>
      </c>
      <c r="P12" s="188">
        <v>1</v>
      </c>
      <c r="Q12" s="188">
        <v>31</v>
      </c>
      <c r="R12" s="188">
        <v>1980</v>
      </c>
      <c r="S12" s="188">
        <v>1304</v>
      </c>
      <c r="T12" s="188">
        <v>100</v>
      </c>
      <c r="U12" s="188">
        <v>294</v>
      </c>
      <c r="V12" s="188">
        <v>1102</v>
      </c>
      <c r="W12" s="188">
        <v>78</v>
      </c>
      <c r="X12" s="194">
        <v>123</v>
      </c>
      <c r="Y12" s="196">
        <v>41</v>
      </c>
      <c r="Z12" s="186">
        <v>44</v>
      </c>
      <c r="AA12" s="186">
        <v>45</v>
      </c>
      <c r="AB12" s="186">
        <v>40</v>
      </c>
      <c r="AC12" s="188">
        <v>0</v>
      </c>
      <c r="AD12" s="188">
        <v>0</v>
      </c>
      <c r="AE12" s="188">
        <v>0</v>
      </c>
      <c r="AF12" s="194">
        <v>0</v>
      </c>
      <c r="AG12" s="207">
        <v>78</v>
      </c>
      <c r="AH12" s="188">
        <v>25</v>
      </c>
      <c r="AI12" s="188">
        <v>48</v>
      </c>
      <c r="AJ12" s="208">
        <v>55</v>
      </c>
      <c r="AK12" s="187">
        <v>0</v>
      </c>
      <c r="AL12" s="188">
        <v>0</v>
      </c>
      <c r="AM12" s="188">
        <v>0</v>
      </c>
      <c r="AN12" s="194">
        <v>0</v>
      </c>
      <c r="AO12" s="264">
        <v>0</v>
      </c>
      <c r="AP12" s="160">
        <v>0</v>
      </c>
      <c r="AQ12" s="160">
        <v>0</v>
      </c>
      <c r="AR12" s="159">
        <v>0</v>
      </c>
      <c r="AS12" s="350" t="s">
        <v>866</v>
      </c>
      <c r="AT12" s="208"/>
      <c r="AU12" s="207"/>
      <c r="AV12" s="208"/>
      <c r="AW12" s="207"/>
      <c r="AX12" s="208"/>
      <c r="AY12" s="128">
        <f t="shared" si="1"/>
        <v>1382</v>
      </c>
      <c r="AZ12" s="129">
        <f t="shared" si="1"/>
        <v>125</v>
      </c>
      <c r="BA12" s="129">
        <f t="shared" si="1"/>
        <v>342</v>
      </c>
      <c r="BB12" s="129">
        <f t="shared" si="1"/>
        <v>1157</v>
      </c>
      <c r="BC12" s="127">
        <f>IF(ISNUMBER(X12),X12," - ")</f>
        <v>123</v>
      </c>
      <c r="BD12" s="128">
        <f t="shared" si="2"/>
        <v>2.7360000000000002</v>
      </c>
      <c r="BE12" s="129">
        <f t="shared" si="3"/>
        <v>3.3830409356725144</v>
      </c>
      <c r="BF12" s="129">
        <f t="shared" si="4"/>
        <v>0.35964912280701755</v>
      </c>
      <c r="BG12" s="201">
        <f t="shared" si="5"/>
        <v>4.4064327485380117</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5718</v>
      </c>
      <c r="J14" s="189">
        <f t="shared" si="7"/>
        <v>1433</v>
      </c>
      <c r="K14" s="189">
        <f t="shared" si="7"/>
        <v>1319</v>
      </c>
      <c r="L14" s="189">
        <f t="shared" si="7"/>
        <v>5770</v>
      </c>
      <c r="M14" s="189">
        <f t="shared" si="7"/>
        <v>404</v>
      </c>
      <c r="N14" s="189">
        <f t="shared" si="7"/>
        <v>426</v>
      </c>
      <c r="O14" s="189">
        <f t="shared" si="7"/>
        <v>351</v>
      </c>
      <c r="P14" s="189">
        <f t="shared" si="7"/>
        <v>219</v>
      </c>
      <c r="Q14" s="189">
        <f t="shared" si="7"/>
        <v>118</v>
      </c>
      <c r="R14" s="189">
        <f t="shared" si="7"/>
        <v>8238</v>
      </c>
      <c r="S14" s="189">
        <f t="shared" si="7"/>
        <v>5398</v>
      </c>
      <c r="T14" s="189">
        <f t="shared" si="7"/>
        <v>1463</v>
      </c>
      <c r="U14" s="189">
        <f t="shared" si="7"/>
        <v>1865</v>
      </c>
      <c r="V14" s="189">
        <f t="shared" si="7"/>
        <v>4988</v>
      </c>
      <c r="W14" s="189">
        <f t="shared" si="7"/>
        <v>731</v>
      </c>
      <c r="X14" s="189">
        <f t="shared" si="7"/>
        <v>690</v>
      </c>
      <c r="Y14" s="189">
        <f t="shared" si="7"/>
        <v>400</v>
      </c>
      <c r="Z14" s="189">
        <f t="shared" si="7"/>
        <v>180</v>
      </c>
      <c r="AA14" s="189">
        <f t="shared" si="7"/>
        <v>165</v>
      </c>
      <c r="AB14" s="189">
        <f t="shared" si="7"/>
        <v>376</v>
      </c>
      <c r="AC14" s="189">
        <f t="shared" si="7"/>
        <v>0</v>
      </c>
      <c r="AD14" s="189">
        <f t="shared" si="7"/>
        <v>0</v>
      </c>
      <c r="AE14" s="189">
        <f t="shared" si="7"/>
        <v>0</v>
      </c>
      <c r="AF14" s="189">
        <f>SUBTOTAL(9,AF9:AF13)</f>
        <v>0</v>
      </c>
      <c r="AG14" s="189">
        <f t="shared" ref="AG14:AT14" si="8">SUBTOTAL(9,AG8:AG13)</f>
        <v>301</v>
      </c>
      <c r="AH14" s="189">
        <f t="shared" si="8"/>
        <v>95</v>
      </c>
      <c r="AI14" s="189">
        <f t="shared" si="8"/>
        <v>134</v>
      </c>
      <c r="AJ14" s="189">
        <f t="shared" si="8"/>
        <v>262</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5699</v>
      </c>
      <c r="AZ14" s="189">
        <f>SUBTOTAL(9,AZ8:AZ13)</f>
        <v>1558</v>
      </c>
      <c r="BA14" s="189">
        <f>SUBTOTAL(9,BA8:BA13)</f>
        <v>1999</v>
      </c>
      <c r="BB14" s="189">
        <f>SUBTOTAL(9,BB8:BB13)</f>
        <v>5250</v>
      </c>
      <c r="BC14" s="189">
        <f>SUBTOTAL(9,BC8:BC13)</f>
        <v>692</v>
      </c>
      <c r="BD14" s="210">
        <f>IF(ISNUMBER(BA14/AZ14),BA14/AZ14," - ")</f>
        <v>1.2830551989730423</v>
      </c>
      <c r="BE14" s="211">
        <f>IF(ISNUMBER(BB14/BA14),BB14/BA14, " - ")</f>
        <v>2.6263131565782891</v>
      </c>
      <c r="BF14" s="211">
        <f>IF(ISNUMBER(BC14/BA14),BC14/BA14, " - ")</f>
        <v>0.34617308654327161</v>
      </c>
      <c r="BG14" s="212">
        <f>IF(ISNUMBER((AY14+AZ14)/BA14),(AY14+AZ14)/BA14," - ")</f>
        <v>3.6303151575787895</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2304</v>
      </c>
      <c r="J16" s="188">
        <v>1430</v>
      </c>
      <c r="K16" s="188">
        <v>1082</v>
      </c>
      <c r="L16" s="188">
        <v>2652</v>
      </c>
      <c r="M16" s="188">
        <v>137</v>
      </c>
      <c r="N16" s="188">
        <v>549</v>
      </c>
      <c r="O16" s="186">
        <v>4</v>
      </c>
      <c r="P16" s="188">
        <v>17</v>
      </c>
      <c r="Q16" s="188">
        <v>10</v>
      </c>
      <c r="R16" s="188">
        <v>136</v>
      </c>
      <c r="S16" s="188">
        <v>799</v>
      </c>
      <c r="T16" s="188">
        <v>1223</v>
      </c>
      <c r="U16" s="188">
        <v>660</v>
      </c>
      <c r="V16" s="188">
        <v>1362</v>
      </c>
      <c r="W16" s="188">
        <v>121</v>
      </c>
      <c r="X16" s="194">
        <v>352</v>
      </c>
      <c r="Y16" s="207">
        <v>0</v>
      </c>
      <c r="Z16" s="188">
        <v>0</v>
      </c>
      <c r="AA16" s="188">
        <v>0</v>
      </c>
      <c r="AB16" s="188">
        <v>0</v>
      </c>
      <c r="AC16" s="188">
        <v>6</v>
      </c>
      <c r="AD16" s="188">
        <v>1</v>
      </c>
      <c r="AE16" s="188">
        <v>5</v>
      </c>
      <c r="AF16" s="194">
        <v>2</v>
      </c>
      <c r="AG16" s="207">
        <v>0</v>
      </c>
      <c r="AH16" s="188">
        <v>0</v>
      </c>
      <c r="AI16" s="188">
        <v>0</v>
      </c>
      <c r="AJ16" s="208">
        <v>0</v>
      </c>
      <c r="AK16" s="187">
        <v>0</v>
      </c>
      <c r="AL16" s="188">
        <v>7</v>
      </c>
      <c r="AM16" s="188">
        <v>7</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799</v>
      </c>
      <c r="AZ16" s="131">
        <f t="shared" si="10"/>
        <v>1223</v>
      </c>
      <c r="BA16" s="131">
        <f t="shared" si="10"/>
        <v>660</v>
      </c>
      <c r="BB16" s="131">
        <f t="shared" si="10"/>
        <v>1362</v>
      </c>
      <c r="BC16" s="127">
        <f>IF(ISNUMBER(W16),W16," - ")</f>
        <v>121</v>
      </c>
      <c r="BD16" s="128">
        <f>IF(ISNUMBER(BA16/AZ16),BA16/AZ16," - ")</f>
        <v>0.53965658217497958</v>
      </c>
      <c r="BE16" s="129">
        <f>IF(ISNUMBER(BB16/BA16),BB16/BA16, " - ")</f>
        <v>2.0636363636363635</v>
      </c>
      <c r="BF16" s="129">
        <f>IF(ISNUMBER(BC16/BA16),BC16/BA16, " - ")</f>
        <v>0.18333333333333332</v>
      </c>
      <c r="BG16" s="201">
        <f t="shared" ref="BG16:BG19" si="11">IF(ISNUMBER((AY16+AZ16)/BA16),(AY16+AZ16)/BA16," - ")</f>
        <v>3.0636363636363635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652</v>
      </c>
      <c r="J17" s="188">
        <v>36</v>
      </c>
      <c r="K17" s="188">
        <v>324</v>
      </c>
      <c r="L17" s="188">
        <v>368</v>
      </c>
      <c r="M17" s="188">
        <v>19</v>
      </c>
      <c r="N17" s="188">
        <v>253</v>
      </c>
      <c r="O17" s="186">
        <v>1</v>
      </c>
      <c r="P17" s="188">
        <v>16</v>
      </c>
      <c r="Q17" s="188">
        <v>9</v>
      </c>
      <c r="R17" s="188">
        <v>172</v>
      </c>
      <c r="S17" s="188">
        <v>1144</v>
      </c>
      <c r="T17" s="188">
        <v>105</v>
      </c>
      <c r="U17" s="188">
        <v>375</v>
      </c>
      <c r="V17" s="188">
        <v>880</v>
      </c>
      <c r="W17" s="188">
        <v>46</v>
      </c>
      <c r="X17" s="194">
        <v>165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1144</v>
      </c>
      <c r="AZ17" s="129">
        <f t="shared" si="10"/>
        <v>105</v>
      </c>
      <c r="BA17" s="129">
        <f t="shared" si="10"/>
        <v>375</v>
      </c>
      <c r="BB17" s="129">
        <f t="shared" si="10"/>
        <v>880</v>
      </c>
      <c r="BC17" s="127">
        <f>IF(ISNUMBER(W17),W17," - ")</f>
        <v>46</v>
      </c>
      <c r="BD17" s="128">
        <f t="shared" ref="BD17:BD19" si="12">IF(ISNUMBER(BA17/AZ17),BA17/AZ17," - ")</f>
        <v>3.5714285714285716</v>
      </c>
      <c r="BE17" s="129">
        <f t="shared" ref="BE17:BE19" si="13">IF(ISNUMBER(BB17/BA17),BB17/BA17, " - ")</f>
        <v>2.3466666666666667</v>
      </c>
      <c r="BF17" s="129">
        <f t="shared" ref="BF17:BF19" si="14">IF(ISNUMBER(BC17/BA17),BC17/BA17, " - ")</f>
        <v>0.12266666666666666</v>
      </c>
      <c r="BG17" s="201">
        <f t="shared" si="11"/>
        <v>3.3306666666666667</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97</v>
      </c>
      <c r="J18" s="188">
        <v>66</v>
      </c>
      <c r="K18" s="188">
        <v>75</v>
      </c>
      <c r="L18" s="188">
        <v>88</v>
      </c>
      <c r="M18" s="188">
        <v>17</v>
      </c>
      <c r="N18" s="188">
        <v>76</v>
      </c>
      <c r="O18" s="188">
        <v>0</v>
      </c>
      <c r="P18" s="188">
        <v>0</v>
      </c>
      <c r="Q18" s="188">
        <v>2</v>
      </c>
      <c r="R18" s="188">
        <v>4</v>
      </c>
      <c r="S18" s="188">
        <v>48</v>
      </c>
      <c r="T18" s="188">
        <v>111</v>
      </c>
      <c r="U18" s="188">
        <v>107</v>
      </c>
      <c r="V18" s="188">
        <v>52</v>
      </c>
      <c r="W18" s="188">
        <v>21</v>
      </c>
      <c r="X18" s="194">
        <v>50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48</v>
      </c>
      <c r="AZ18" s="131">
        <f t="shared" si="15"/>
        <v>111</v>
      </c>
      <c r="BA18" s="131">
        <f t="shared" si="15"/>
        <v>107</v>
      </c>
      <c r="BB18" s="131">
        <f t="shared" si="15"/>
        <v>52</v>
      </c>
      <c r="BC18" s="127">
        <f>IF(ISNUMBER(W18),W18," - ")</f>
        <v>21</v>
      </c>
      <c r="BD18" s="128">
        <f>IF(ISNUMBER(BA18/AZ18),BA18/AZ18," - ")</f>
        <v>0.963963963963964</v>
      </c>
      <c r="BE18" s="129">
        <f>IF(ISNUMBER(BB18/BA18),BB18/BA18, " - ")</f>
        <v>0.48598130841121495</v>
      </c>
      <c r="BF18" s="129">
        <f>IF(ISNUMBER(BC18/BA18),BC18/BA18, " - ")</f>
        <v>0.19626168224299065</v>
      </c>
      <c r="BG18" s="201">
        <f>IF(ISNUMBER((AY18+AZ18)/BA18),(AY18+AZ18)/BA18," - ")</f>
        <v>1.485981308411215</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3053</v>
      </c>
      <c r="J20" s="189">
        <f t="shared" si="16"/>
        <v>1532</v>
      </c>
      <c r="K20" s="189">
        <f t="shared" si="16"/>
        <v>1481</v>
      </c>
      <c r="L20" s="189">
        <f t="shared" si="16"/>
        <v>3108</v>
      </c>
      <c r="M20" s="189">
        <f t="shared" si="16"/>
        <v>173</v>
      </c>
      <c r="N20" s="189">
        <f t="shared" si="16"/>
        <v>878</v>
      </c>
      <c r="O20" s="189">
        <f t="shared" si="16"/>
        <v>5</v>
      </c>
      <c r="P20" s="189">
        <f t="shared" si="16"/>
        <v>33</v>
      </c>
      <c r="Q20" s="189">
        <f t="shared" si="16"/>
        <v>21</v>
      </c>
      <c r="R20" s="189">
        <f t="shared" si="16"/>
        <v>312</v>
      </c>
      <c r="S20" s="189">
        <f t="shared" si="16"/>
        <v>1991</v>
      </c>
      <c r="T20" s="189">
        <f t="shared" si="16"/>
        <v>1439</v>
      </c>
      <c r="U20" s="189">
        <f t="shared" si="16"/>
        <v>1142</v>
      </c>
      <c r="V20" s="189">
        <f t="shared" si="16"/>
        <v>2294</v>
      </c>
      <c r="W20" s="189">
        <f t="shared" si="16"/>
        <v>188</v>
      </c>
      <c r="X20" s="189">
        <f t="shared" si="16"/>
        <v>567</v>
      </c>
      <c r="Y20" s="189">
        <f t="shared" si="16"/>
        <v>0</v>
      </c>
      <c r="Z20" s="189">
        <f t="shared" si="16"/>
        <v>0</v>
      </c>
      <c r="AA20" s="189">
        <f t="shared" si="16"/>
        <v>0</v>
      </c>
      <c r="AB20" s="189">
        <f t="shared" si="16"/>
        <v>0</v>
      </c>
      <c r="AC20" s="189">
        <f t="shared" si="16"/>
        <v>6</v>
      </c>
      <c r="AD20" s="189">
        <f t="shared" si="16"/>
        <v>1</v>
      </c>
      <c r="AE20" s="189">
        <f t="shared" si="16"/>
        <v>5</v>
      </c>
      <c r="AF20" s="189">
        <f t="shared" si="16"/>
        <v>2</v>
      </c>
      <c r="AG20" s="189">
        <f t="shared" si="16"/>
        <v>0</v>
      </c>
      <c r="AH20" s="189">
        <f t="shared" si="16"/>
        <v>0</v>
      </c>
      <c r="AI20" s="189">
        <f t="shared" si="16"/>
        <v>0</v>
      </c>
      <c r="AJ20" s="189">
        <f t="shared" si="16"/>
        <v>0</v>
      </c>
      <c r="AK20" s="189">
        <f t="shared" si="16"/>
        <v>0</v>
      </c>
      <c r="AL20" s="189">
        <f t="shared" si="16"/>
        <v>7</v>
      </c>
      <c r="AM20" s="189">
        <f t="shared" si="16"/>
        <v>7</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1991</v>
      </c>
      <c r="AZ20" s="189">
        <f>SUBTOTAL(9,AZ15:AZ19)</f>
        <v>1439</v>
      </c>
      <c r="BA20" s="189">
        <f>SUBTOTAL(9,BA15:BA19)</f>
        <v>1142</v>
      </c>
      <c r="BB20" s="189">
        <f>SUBTOTAL(9,BB15:BB19)</f>
        <v>2294</v>
      </c>
      <c r="BC20" s="189">
        <f>SUBTOTAL(9,BC15:BC19)</f>
        <v>188</v>
      </c>
      <c r="BD20" s="210">
        <f>IF(ISNUMBER(BA20/AZ20),BA20/AZ20," - ")</f>
        <v>0.79360667129951357</v>
      </c>
      <c r="BE20" s="211">
        <f>IF(ISNUMBER(BB20/BA20),BB20/BA20, " - ")</f>
        <v>2.0087565674255692</v>
      </c>
      <c r="BF20" s="211">
        <f>IF(ISNUMBER(BC20/BA20),BC20/BA20, " - ")</f>
        <v>0.16462346760070051</v>
      </c>
      <c r="BG20" s="212">
        <f>IF(ISNUMBER((AY20+AZ20)/BA20),(AY20+AZ20)/BA20," - ")</f>
        <v>3.0035026269702279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8771</v>
      </c>
      <c r="J21" s="136">
        <f t="shared" si="19"/>
        <v>2965</v>
      </c>
      <c r="K21" s="136">
        <f t="shared" si="19"/>
        <v>2800</v>
      </c>
      <c r="L21" s="136">
        <f t="shared" si="19"/>
        <v>8878</v>
      </c>
      <c r="M21" s="136">
        <f t="shared" si="19"/>
        <v>577</v>
      </c>
      <c r="N21" s="136">
        <f t="shared" si="19"/>
        <v>1304</v>
      </c>
      <c r="O21" s="136">
        <f t="shared" si="19"/>
        <v>356</v>
      </c>
      <c r="P21" s="136">
        <f t="shared" si="19"/>
        <v>252</v>
      </c>
      <c r="Q21" s="136">
        <f t="shared" si="19"/>
        <v>139</v>
      </c>
      <c r="R21" s="136">
        <f t="shared" si="19"/>
        <v>8550</v>
      </c>
      <c r="S21" s="136">
        <f t="shared" si="19"/>
        <v>7389</v>
      </c>
      <c r="T21" s="136">
        <f t="shared" si="19"/>
        <v>2902</v>
      </c>
      <c r="U21" s="136">
        <f t="shared" si="19"/>
        <v>3007</v>
      </c>
      <c r="V21" s="136">
        <f t="shared" si="19"/>
        <v>7282</v>
      </c>
      <c r="W21" s="136">
        <f t="shared" si="19"/>
        <v>919</v>
      </c>
      <c r="X21" s="136">
        <f t="shared" si="19"/>
        <v>1257</v>
      </c>
      <c r="Y21" s="136">
        <f t="shared" si="19"/>
        <v>400</v>
      </c>
      <c r="Z21" s="136">
        <f t="shared" si="19"/>
        <v>180</v>
      </c>
      <c r="AA21" s="136">
        <f t="shared" si="19"/>
        <v>165</v>
      </c>
      <c r="AB21" s="136">
        <f t="shared" si="19"/>
        <v>376</v>
      </c>
      <c r="AC21" s="136">
        <f t="shared" si="19"/>
        <v>6</v>
      </c>
      <c r="AD21" s="136">
        <f t="shared" si="19"/>
        <v>1</v>
      </c>
      <c r="AE21" s="136">
        <f t="shared" si="19"/>
        <v>5</v>
      </c>
      <c r="AF21" s="136">
        <f t="shared" si="19"/>
        <v>2</v>
      </c>
      <c r="AG21" s="136">
        <f t="shared" si="19"/>
        <v>301</v>
      </c>
      <c r="AH21" s="136">
        <f t="shared" si="19"/>
        <v>95</v>
      </c>
      <c r="AI21" s="136">
        <f t="shared" si="19"/>
        <v>134</v>
      </c>
      <c r="AJ21" s="136">
        <f t="shared" si="19"/>
        <v>262</v>
      </c>
      <c r="AK21" s="136">
        <f t="shared" si="19"/>
        <v>0</v>
      </c>
      <c r="AL21" s="136">
        <f t="shared" si="19"/>
        <v>7</v>
      </c>
      <c r="AM21" s="136">
        <f t="shared" si="19"/>
        <v>7</v>
      </c>
      <c r="AN21" s="215">
        <f t="shared" si="19"/>
        <v>0</v>
      </c>
      <c r="AO21" s="216">
        <v>9</v>
      </c>
      <c r="AP21" s="216">
        <v>8</v>
      </c>
      <c r="AQ21" s="216">
        <v>8</v>
      </c>
      <c r="AR21" s="216">
        <v>8</v>
      </c>
      <c r="AS21" s="158">
        <f t="shared" si="19"/>
        <v>0</v>
      </c>
      <c r="AT21" s="158">
        <f t="shared" si="19"/>
        <v>0</v>
      </c>
      <c r="AU21" s="216"/>
      <c r="AV21" s="217"/>
      <c r="AW21" s="216"/>
      <c r="AX21" s="217"/>
      <c r="AY21" s="135">
        <f>SUBTOTAL(9,AY9:AY20)</f>
        <v>7690</v>
      </c>
      <c r="AZ21" s="136">
        <f>SUBTOTAL(9,AZ9:AZ20)</f>
        <v>2997</v>
      </c>
      <c r="BA21" s="136">
        <f>SUBTOTAL(9,BA9:BA20)</f>
        <v>3141</v>
      </c>
      <c r="BB21" s="136">
        <f>SUBTOTAL(9,BB9:BB20)</f>
        <v>7544</v>
      </c>
      <c r="BC21" s="137">
        <f>SUBTOTAL(9,BC9:BC20)</f>
        <v>880</v>
      </c>
      <c r="BD21" s="218">
        <f>IF(ISNUMBER(BA21/AZ21),BA21/AZ21," - ")</f>
        <v>1.0480480480480481</v>
      </c>
      <c r="BE21" s="215">
        <f>IF(ISNUMBER(BB21/BA21),BB21/BA21, " - ")</f>
        <v>2.4017828716969118</v>
      </c>
      <c r="BF21" s="215">
        <f>IF(ISNUMBER(BC21/BA21),BC21/BA21, " - ")</f>
        <v>0.28016555237185609</v>
      </c>
      <c r="BG21" s="137">
        <f>IF(ISNUMBER((AY21+AZ21)/BA21),(AY21+AZ21)/BA21," - ")</f>
        <v>3.402419611588666</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TXtDxb44Hn75NXaL0MsUgGANiWvhLlOByJump5aRB5nekdgy4msq8hgwfhzwjbzZXx6MGrINkX4zzAiUnXK+g==" saltValue="F6KrTKKa3DZfdU0Z3IVI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0h5FzOdjCJzDMepyk0OiWCgrgrqvTnU9pwN3NK9L2nw+4TBifbyxrR+fgKj9SrDw8yatB/1w4kPDNaJ74nL+g==" saltValue="yBluI1VI4SA3XeWx8ZAt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TOLEDO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136</v>
      </c>
      <c r="O9" s="504"/>
      <c r="P9" s="504"/>
      <c r="Q9" s="502">
        <f>IF(ISNUMBER(Datos!P9),Datos!P9,0)</f>
        <v>218</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336</v>
      </c>
      <c r="AI9" s="504" t="str">
        <f>IF(ISNUMBER(Datos!CD9),Datos!CD9,"-")</f>
        <v>-</v>
      </c>
      <c r="AJ9" s="504" t="str">
        <f>IF(ISNUMBER(Datos!EN9),Datos!EN9," - ")</f>
        <v xml:space="preserve"> - </v>
      </c>
      <c r="AK9" s="504"/>
      <c r="AL9" s="505"/>
      <c r="AM9" s="672">
        <f>IF(ISNUMBER(Datos!R9),Datos!R9," - ")</f>
        <v>6237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363</v>
      </c>
      <c r="BD9" s="620">
        <f>IF(ISNUMBER(Datos!N9),Datos!N9," - ")</f>
        <v>394</v>
      </c>
      <c r="BE9" s="620" t="str">
        <f>IF(ISNUMBER(Datos!BW9),Datos!BW9," - ")</f>
        <v xml:space="preserve"> - </v>
      </c>
      <c r="BF9" s="668" t="str">
        <f>IF(ISNUMBER(Datos!BX9),Datos!BX9," - ")</f>
        <v xml:space="preserve"> - </v>
      </c>
      <c r="BG9" s="669">
        <f>IF(ISNUMBER(IF(J_V="SI",Datos!K9/Datos!J9,(Datos!K9+Datos!AA9)/(Datos!J9+Datos!Z9))),IF(J_V="SI",Datos!K9/Datos!J9,(Datos!K9+Datos!AA9)/(Datos!J9+Datos!Z9))," - ")</f>
        <v>0.83997429305912596</v>
      </c>
      <c r="BH9" s="670">
        <f>IF(ISNUMBER(((IF(J_V="SI",Datos!L9/Datos!K9,(Datos!L9+Datos!AB9)/(Datos!K9+Datos!AA9)))*11)/factor_trimestre),((IF(J_V="SI",Datos!L9/Datos!K9,(Datos!L9+Datos!AB9)/(Datos!K9+Datos!AA9)))*11)/factor_trimestre," - ")</f>
        <v>12.302983932670237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2.1788990825688075E-2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93</v>
      </c>
      <c r="G10" s="498">
        <f>IF(ISNUMBER(Datos!I10),Datos!I10," - ")</f>
        <v>93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2</v>
      </c>
      <c r="AD10" s="504"/>
      <c r="AE10" s="517"/>
      <c r="AF10" s="506">
        <f>IF(ISNUMBER(Datos!L10),Datos!L10,"-")</f>
        <v>92</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46.000000000000007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-8.6956521739130432E-2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44</v>
      </c>
      <c r="O12" s="504"/>
      <c r="P12" s="504"/>
      <c r="Q12" s="502">
        <f>IF(ISNUMBER(Datos!P12),Datos!P12,0)</f>
        <v>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1980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41</v>
      </c>
      <c r="BD12" s="620">
        <f>IF(ISNUMBER(Datos!N12),Datos!N12," - ")</f>
        <v>32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3.2884615384615383</v>
      </c>
      <c r="BH12" s="670">
        <f>IF(ISNUMBER(((IF(J_V="SI",Datos!L12/Datos!K12,(Datos!L12+Datos!AB12)/(Datos!K12+Datos!AA12)))*11)/factor_trimestre),((IF(J_V="SI",Datos!L12/Datos!K12,(Datos!L12+Datos!AB12)/(Datos!K12+Datos!AA12)))*11)/factor_trimestre," - ")</f>
        <v>12.175438596491228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-1.4925373134328358E-2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93</v>
      </c>
      <c r="G14" s="1045">
        <f t="shared" si="1"/>
        <v>93</v>
      </c>
      <c r="H14" s="1046">
        <f t="shared" si="1"/>
        <v>0</v>
      </c>
      <c r="I14" s="1045">
        <f t="shared" si="1"/>
        <v>0</v>
      </c>
      <c r="J14" s="1014">
        <f t="shared" si="1"/>
        <v>0</v>
      </c>
      <c r="K14" s="1014">
        <f t="shared" si="1"/>
        <v>0</v>
      </c>
      <c r="L14" s="1046">
        <f t="shared" si="1"/>
        <v>0</v>
      </c>
      <c r="M14" s="1046">
        <f t="shared" si="1"/>
        <v>0</v>
      </c>
      <c r="N14" s="1046">
        <f t="shared" si="1"/>
        <v>180</v>
      </c>
      <c r="O14" s="1047">
        <f t="shared" si="1"/>
        <v>0</v>
      </c>
      <c r="P14" s="1047">
        <f t="shared" si="1"/>
        <v>0</v>
      </c>
      <c r="Q14" s="1046">
        <f t="shared" si="1"/>
        <v>219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118</v>
      </c>
      <c r="AD14" s="1046">
        <f t="shared" si="2"/>
        <v>0</v>
      </c>
      <c r="AE14" s="1046">
        <f t="shared" si="2"/>
        <v>0</v>
      </c>
      <c r="AF14" s="1046">
        <f t="shared" si="2"/>
        <v>92</v>
      </c>
      <c r="AG14" s="1046">
        <f t="shared" si="2"/>
        <v>0</v>
      </c>
      <c r="AH14" s="1046">
        <f t="shared" si="2"/>
        <v>376</v>
      </c>
      <c r="AI14" s="1046">
        <f t="shared" si="2"/>
        <v>0</v>
      </c>
      <c r="AJ14" s="1046">
        <f t="shared" si="2"/>
        <v>0</v>
      </c>
      <c r="AK14" s="1046">
        <f t="shared" si="2"/>
        <v>0</v>
      </c>
      <c r="AL14" s="1046">
        <f t="shared" si="2"/>
        <v>0</v>
      </c>
      <c r="AM14" s="1046">
        <f t="shared" si="2"/>
        <v>8238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404</v>
      </c>
      <c r="BD14" s="1046">
        <f t="shared" si="2"/>
        <v>426</v>
      </c>
      <c r="BE14" s="1046">
        <f t="shared" si="2"/>
        <v>0</v>
      </c>
      <c r="BF14" s="1046">
        <f t="shared" si="2"/>
        <v>0</v>
      </c>
      <c r="BG14" s="1046">
        <f>IF(ISNUMBER(Datos!K14/Datos!J14),Datos!K14/Datos!J14," - ")</f>
        <v>0.92044661549197493</v>
      </c>
      <c r="BH14" s="1050">
        <f>IF(ISNUMBER(((Datos!L14/Datos!K14)*11)/factor_trimestre),((Datos!L14/Datos!K14)*11)/factor_trimestre," - ")</f>
        <v>13.12357846853677</v>
      </c>
      <c r="BI14" s="1046">
        <f>IF(ISNUMBER('Resol  Asuntos'!D14/NºAsuntos!G14),'Resol  Asuntos'!D14/NºAsuntos!G14," - ")</f>
        <v>0.27223719676549868</v>
      </c>
      <c r="BJ14" s="1046" t="str">
        <f>IF(ISNUMBER(Datos!CI14/Datos!CJ14),Datos!CI14/Datos!CJ14," - ")</f>
        <v xml:space="preserve"> - </v>
      </c>
      <c r="BK14" s="1046">
        <f>SUBTOTAL(9,BK8:BK13)</f>
        <v>0</v>
      </c>
      <c r="BL14" s="1046">
        <f>IF(ISNUMBER((I14-AB14+L14)/(F14)),(I14-AB14+L14)/(F14)," - ")</f>
        <v>-6.4516129032258063E-2</v>
      </c>
      <c r="BM14" s="1051">
        <f>SUBTOTAL(9,BM9:BM13)</f>
        <v>-8.009290404777071E-2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2304</v>
      </c>
      <c r="G16" s="651">
        <f>IF(ISNUMBER(IF(D_I="SI",Datos!I16,Datos!I16+Datos!AC16)),IF(D_I="SI",Datos!I16,Datos!I16+Datos!AC16)," - ")</f>
        <v>2304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1082</v>
      </c>
      <c r="AC16" s="231">
        <f>IF(ISNUMBER(Datos!Q16),Datos!Q16," - ")</f>
        <v>10</v>
      </c>
      <c r="AD16" s="344"/>
      <c r="AE16" s="516"/>
      <c r="AF16" s="649">
        <f>IF(ISNUMBER(IF(D_I="SI",Datos!L16,Datos!L16+Datos!AF16)),IF(D_I="SI",Datos!L16,Datos!L16+Datos!AF16)," - ")</f>
        <v>2652</v>
      </c>
      <c r="AG16" s="344"/>
      <c r="AH16" s="344"/>
      <c r="AI16" s="344"/>
      <c r="AJ16" s="504"/>
      <c r="AK16" s="344"/>
      <c r="AL16" s="500"/>
      <c r="AM16" s="345">
        <f>IF(ISNUMBER(Datos!R16),Datos!R16," - ")</f>
        <v>136</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137</v>
      </c>
      <c r="BD16" s="234">
        <f>IF(ISNUMBER(Datos!N16),Datos!N16," - ")</f>
        <v>549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0.75664335664335669</v>
      </c>
      <c r="BH16" s="670">
        <f>IF(ISNUMBER(((IF(D_I="SI",Datos!L16/Datos!K16,(Datos!L16+Datos!AF16)/(Datos!K16+Datos!AE16)))*11)/factor_trimestre),((IF(D_I="SI",Datos!L16/Datos!K16,(Datos!L16+Datos!AF16)/(Datos!K16+Datos!AE16)))*11)/factor_trimestre," - ")</f>
        <v>7.3530499075785585</v>
      </c>
      <c r="BI16" s="248">
        <f>IF(ISNUMBER('Resol  Asuntos'!D16/NºAsuntos!G16),'Resol  Asuntos'!D16/NºAsuntos!G16," - ")</f>
        <v>0.1266173752310536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656</v>
      </c>
      <c r="G17" s="651">
        <f>IF(ISNUMBER(IF(D_I="SI",Datos!I17,Datos!I17+Datos!AC17)),IF(D_I="SI",Datos!I17,Datos!I17+Datos!AC17)," - ")</f>
        <v>652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324</v>
      </c>
      <c r="AC17" s="231">
        <f>IF(ISNUMBER(Datos!Q17),Datos!Q17," - ")</f>
        <v>9</v>
      </c>
      <c r="AD17" s="344"/>
      <c r="AE17" s="516"/>
      <c r="AF17" s="649">
        <f>IF(ISNUMBER(IF(D_I="SI",Datos!L17,Datos!L17+Datos!AF17)),IF(D_I="SI",Datos!L17,Datos!L17+Datos!AF17)," - ")</f>
        <v>368</v>
      </c>
      <c r="AG17" s="344"/>
      <c r="AH17" s="344"/>
      <c r="AI17" s="344"/>
      <c r="AJ17" s="504"/>
      <c r="AK17" s="344"/>
      <c r="AL17" s="500"/>
      <c r="AM17" s="345">
        <f>IF(ISNUMBER(Datos!R17),Datos!R17," - ")</f>
        <v>172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19</v>
      </c>
      <c r="BD17" s="234">
        <f>IF(ISNUMBER(Datos!N17),Datos!N17," - ")</f>
        <v>253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9</v>
      </c>
      <c r="BH17" s="670">
        <f>IF(ISNUMBER(((IF(D_I="SI",Datos!L17/Datos!K17,(Datos!L17+Datos!AF17)/(Datos!K17+Datos!AE17)))*11)/factor_trimestre),((IF(D_I="SI",Datos!L17/Datos!K17,(Datos!L17+Datos!AF17)/(Datos!K17+Datos!AE17)))*11)/factor_trimestre," - ")</f>
        <v>3.407407407407407</v>
      </c>
      <c r="BI17" s="248">
        <f>IF(ISNUMBER('Resol  Asuntos'!D17/NºAsuntos!G17),'Resol  Asuntos'!D17/NºAsuntos!G17," - ")</f>
        <v>5.8641975308641972E-2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75</v>
      </c>
      <c r="AC18" s="502">
        <f>IF(ISNUMBER(Datos!Q18),Datos!Q18," - ")</f>
        <v>2</v>
      </c>
      <c r="AD18" s="504"/>
      <c r="AE18" s="516"/>
      <c r="AF18" s="506">
        <f>IF(ISNUMBER(Datos!L18),Datos!L18,"-")</f>
        <v>88</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17</v>
      </c>
      <c r="BD18" s="620">
        <f>IF(ISNUMBER(Datos!N18),Datos!N18," - ")</f>
        <v>76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1.1363636363636365</v>
      </c>
      <c r="BH18" s="670">
        <f>IF(ISNUMBER(((IF(D_I="SI",Datos!L18/Datos!K18,(Datos!L18+Datos!AF18)/(Datos!K18+Datos!AE18)))*11)/factor_trimestre),((IF(D_I="SI",Datos!L18/Datos!K18,(Datos!L18+Datos!AF18)/(Datos!K18+Datos!AE18)))*11)/factor_trimestre," - ")</f>
        <v>3.52</v>
      </c>
      <c r="BI18" s="669">
        <f>IF(ISNUMBER('Resol  Asuntos'!D18/NºAsuntos!G18),'Resol  Asuntos'!D18/NºAsuntos!G18," - ")</f>
        <v>0.22666666666666666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2960</v>
      </c>
      <c r="G20" s="1045">
        <f>SUBTOTAL(9,G16:G19)</f>
        <v>3053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1481</v>
      </c>
      <c r="AC20" s="1046">
        <f t="shared" si="5"/>
        <v>21</v>
      </c>
      <c r="AD20" s="1046">
        <f t="shared" si="5"/>
        <v>0</v>
      </c>
      <c r="AE20" s="1046">
        <f t="shared" si="5"/>
        <v>0</v>
      </c>
      <c r="AF20" s="1046">
        <f t="shared" si="5"/>
        <v>3108</v>
      </c>
      <c r="AG20" s="1046">
        <f t="shared" si="5"/>
        <v>0</v>
      </c>
      <c r="AH20" s="1046">
        <f t="shared" si="5"/>
        <v>0</v>
      </c>
      <c r="AI20" s="1046">
        <f t="shared" si="5"/>
        <v>0</v>
      </c>
      <c r="AJ20" s="1046">
        <f t="shared" si="5"/>
        <v>0</v>
      </c>
      <c r="AK20" s="1046">
        <f t="shared" si="5"/>
        <v>0</v>
      </c>
      <c r="AL20" s="1046">
        <f t="shared" si="5"/>
        <v>0</v>
      </c>
      <c r="AM20" s="1046">
        <f t="shared" si="5"/>
        <v>312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173</v>
      </c>
      <c r="BD20" s="1046">
        <f t="shared" si="5"/>
        <v>878</v>
      </c>
      <c r="BE20" s="1046">
        <f t="shared" si="5"/>
        <v>0</v>
      </c>
      <c r="BF20" s="1046">
        <f t="shared" si="5"/>
        <v>0</v>
      </c>
      <c r="BG20" s="1046">
        <f>IF(ISNUMBER(Datos!K20/Datos!J20),Datos!K20/Datos!J20," - ")</f>
        <v>0.96671018276762399</v>
      </c>
      <c r="BH20" s="1050">
        <f>IF(ISNUMBER(((Datos!L20/Datos!K20)*11)/factor_trimestre),((Datos!L20/Datos!K20)*11)/factor_trimestre," - ")</f>
        <v>6.295746117488183</v>
      </c>
      <c r="BI20" s="1046">
        <f>SUBTOTAL(9,BI16:BI19)</f>
        <v>0.41192601720636224</v>
      </c>
      <c r="BJ20" s="1046">
        <f>SUBTOTAL(9,BJ16:BJ19)</f>
        <v>0</v>
      </c>
      <c r="BK20" s="1046">
        <f>SUBTOTAL(9,BK16:BK19)</f>
        <v>0</v>
      </c>
      <c r="BL20" s="1046">
        <f>IF(ISNUMBER((I20-AB20+L20)/(F20)),(I20-AB20+L20)/(F20)," - ")</f>
        <v>-0.50033783783783781</v>
      </c>
      <c r="BM20" s="1052">
        <f>IF(ISNUMBER((Datos!P20-Datos!Q20)/(Datos!R20-Datos!P20+Datos!Q20)),(Datos!P20-Datos!Q20)/(Datos!R20-Datos!P20+Datos!Q20)," - ")</f>
        <v>0.04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3053</v>
      </c>
      <c r="G21" s="967">
        <f t="shared" si="7"/>
        <v>3146</v>
      </c>
      <c r="H21" s="969">
        <f t="shared" si="7"/>
        <v>0</v>
      </c>
      <c r="I21" s="967">
        <f t="shared" si="7"/>
        <v>0</v>
      </c>
      <c r="J21" s="969">
        <f t="shared" si="7"/>
        <v>0</v>
      </c>
      <c r="K21" s="969">
        <f t="shared" si="7"/>
        <v>0</v>
      </c>
      <c r="L21" s="1028">
        <f t="shared" si="7"/>
        <v>0</v>
      </c>
      <c r="M21" s="1028">
        <f t="shared" si="7"/>
        <v>0</v>
      </c>
      <c r="N21" s="1028">
        <f t="shared" si="7"/>
        <v>180</v>
      </c>
      <c r="O21" s="1028">
        <f t="shared" si="7"/>
        <v>0</v>
      </c>
      <c r="P21" s="1028">
        <f t="shared" si="7"/>
        <v>0</v>
      </c>
      <c r="Q21" s="969">
        <f t="shared" si="7"/>
        <v>252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1487</v>
      </c>
      <c r="AC21" s="968">
        <f t="shared" si="8"/>
        <v>139</v>
      </c>
      <c r="AD21" s="968">
        <f t="shared" si="8"/>
        <v>0</v>
      </c>
      <c r="AE21" s="968">
        <f t="shared" si="8"/>
        <v>0</v>
      </c>
      <c r="AF21" s="975">
        <f t="shared" si="8"/>
        <v>3200</v>
      </c>
      <c r="AG21" s="975">
        <f t="shared" si="8"/>
        <v>0</v>
      </c>
      <c r="AH21" s="975">
        <f t="shared" si="8"/>
        <v>376</v>
      </c>
      <c r="AI21" s="975">
        <f t="shared" si="8"/>
        <v>0</v>
      </c>
      <c r="AJ21" s="968">
        <f t="shared" si="8"/>
        <v>0</v>
      </c>
      <c r="AK21" s="975">
        <f t="shared" si="8"/>
        <v>0</v>
      </c>
      <c r="AL21" s="975">
        <f t="shared" si="8"/>
        <v>0</v>
      </c>
      <c r="AM21" s="975">
        <f t="shared" si="8"/>
        <v>8550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577</v>
      </c>
      <c r="BD21" s="967">
        <f t="shared" si="8"/>
        <v>1304</v>
      </c>
      <c r="BE21" s="967">
        <f t="shared" si="8"/>
        <v>0</v>
      </c>
      <c r="BF21" s="977">
        <f t="shared" si="8"/>
        <v>0</v>
      </c>
      <c r="BG21" s="1062">
        <f>IF(ISNUMBER(Datos!K21/Datos!J21),Datos!K21/Datos!J21," - ")</f>
        <v>0.94435075885328834</v>
      </c>
      <c r="BH21" s="1062">
        <f>IF(ISNUMBER(((Datos!L21/Datos!K21)*11)/factor_trimestre),((Datos!L21/Datos!K21)*11)/factor_trimestre," - ")</f>
        <v>9.5121428571428588</v>
      </c>
      <c r="BI21" s="960">
        <f>IF(ISNUMBER(Datos!J21/Datos!I21),Datos!J21/Datos!I21," - ")</f>
        <v>0.33804583285828299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-0.48706190632165086</v>
      </c>
      <c r="BM21" s="1036">
        <f>IF(ISNUMBER((Datos!P21-Datos!Q21+R21)/(Datos!R21-Datos!P21+Datos!Q21-R21)),(Datos!P21-Datos!Q21+R21)/(Datos!R21-Datos!P21+Datos!Q21-R21)," - ")</f>
        <v>1.3393386274742207E-2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1048.6666666666667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2.1148823307047775</v>
      </c>
      <c r="F23" s="600">
        <f>IF(ISNUMBER(STDEV(F8:F20)),STDEV(F8:F20),"-")</f>
        <v>1328.6273743981042</v>
      </c>
      <c r="G23" s="601">
        <f>IF(ISNUMBER(STDEV(G8:G20)),STDEV(G8:G20),"-")</f>
        <v>1302.5225781792292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632.55755996325479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160.15595078369262</v>
      </c>
      <c r="BD23" s="600"/>
      <c r="BE23" s="600">
        <f>IF(ISNUMBER(STDEV(BE8:BE20)),STDEV(BE8:BE20),"-")</f>
        <v>0</v>
      </c>
      <c r="BF23" s="605">
        <f>IF(ISNUMBER(STDEV(BF8:BF20)),STDEV(BF8:BF20),"-")</f>
        <v>0</v>
      </c>
      <c r="BG23" s="915">
        <f>IF(ISNUMBER(STDEV(BG8:BG20)),STDEV(BG8:BG20),"-")</f>
        <v>2.8439144451236071</v>
      </c>
      <c r="BH23" s="919">
        <f>IF(ISNUMBER(STDEV(BH8:BH20)),STDEV(BH8:BH20),"-")</f>
        <v>13.881644267864399</v>
      </c>
      <c r="BI23" s="254">
        <f>IF(ISNUMBER(STDEV(BI8:BI20)),STDEV(BI8:BI20),"-")</f>
        <v>0.13634738095168719</v>
      </c>
      <c r="BJ23" s="235" t="str">
        <f>IF(ISNUMBER(BL23/BM23),BL23/BM23," - ")</f>
        <v xml:space="preserve"> - </v>
      </c>
      <c r="BK23" s="627"/>
      <c r="BL23" s="608">
        <f>IF(ISNUMBER(STDEV(BL8:BL20)),STDEV(BL8:BL20),"-")</f>
        <v>0.30817248568473438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ELOpUVQx/MhDlX36AOUm7q3c5XFDKvbXgcS+JCjCh1si5al1tcdmk75N7q8YyngeKb+Iv/pl4KqHHDRswTO2g==" saltValue="fA5bgT1vxT5JApgryLXF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TOLEDO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218</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85</v>
      </c>
      <c r="AA9" s="506" t="str">
        <f>IF(ISNUMBER(IF(J_V="SI",Datos!L9,Datos!L9+Datos!AB9)-IF(Monitorios="SI",Datos!CD9,0)),
                          IF(J_V="SI",Datos!L9,Datos!L9+Datos!AB9)-IF(Monitorios="SI",Datos!CD9,0),
                          " - ")</f>
        <v xml:space="preserve"> - </v>
      </c>
      <c r="AB9" s="504"/>
      <c r="AC9" s="504"/>
      <c r="AD9" s="517"/>
      <c r="AE9" s="517">
        <f>IF(ISNUMBER(Datos!R9),Datos!R9," - ")</f>
        <v>6237</v>
      </c>
      <c r="AF9" s="620" t="str">
        <f>IF(ISNUMBER(Datos!BV9),Datos!BV9," - ")</f>
        <v xml:space="preserve"> - </v>
      </c>
      <c r="AG9" s="507" t="str">
        <f>IF(ISNUMBER(Datos!DV9),Datos!DV9," - ")</f>
        <v xml:space="preserve"> - </v>
      </c>
      <c r="AH9" s="508"/>
      <c r="AI9" s="509"/>
      <c r="AJ9" s="507">
        <f>IF(ISNUMBER(Datos!M9),Datos!M9," - ")</f>
        <v>363</v>
      </c>
      <c r="AK9" s="620">
        <f>IF(ISNUMBER(Datos!N9),Datos!N9," - ")</f>
        <v>394</v>
      </c>
      <c r="AL9" s="620" t="str">
        <f>IF(ISNUMBER(Datos!BW9),Datos!BW9," - ")</f>
        <v xml:space="preserve"> - </v>
      </c>
      <c r="AM9" s="668" t="str">
        <f>IF(ISNUMBER(Datos!BX9),Datos!BX9," - ")</f>
        <v xml:space="preserve"> - </v>
      </c>
      <c r="AN9" s="669"/>
      <c r="AO9" s="670">
        <f>IF(ISNUMBER(((NºAsuntos!I9/NºAsuntos!G9)*11)/factor_trimestre),((NºAsuntos!I9/NºAsuntos!G9)*11)/factor_trimestre," - ")</f>
        <v>12.302983932670237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2.1788990825688075E-2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93</v>
      </c>
      <c r="G10" s="507">
        <f>IF(ISNUMBER(Datos!I10),Datos!I10," - ")</f>
        <v>93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2</v>
      </c>
      <c r="AA10" s="506">
        <f>IF(ISNUMBER(Datos!L10),Datos!L10,"-")</f>
        <v>92</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46.000000000000007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-8.6956521739130432E-2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v>
      </c>
      <c r="AA12" s="506" t="str">
        <f>IF(ISNUMBER(IF(J_V="SI",Datos!L12,Datos!L12+Datos!AB12)-IF(Monitorios="SI",Datos!CD12,0)),
                          IF(J_V="SI",Datos!L12,Datos!L12+Datos!AB12)-IF(Monitorios="SI",Datos!CD12,0),
                          " - ")</f>
        <v xml:space="preserve"> - </v>
      </c>
      <c r="AB12" s="504"/>
      <c r="AC12" s="504"/>
      <c r="AD12" s="517"/>
      <c r="AE12" s="517">
        <f>IF(ISNUMBER(Datos!R12),Datos!R12," - ")</f>
        <v>1980</v>
      </c>
      <c r="AF12" s="620" t="str">
        <f>IF(ISNUMBER(Datos!BV12),Datos!BV12," - ")</f>
        <v xml:space="preserve"> - </v>
      </c>
      <c r="AG12" s="507" t="str">
        <f>IF(ISNUMBER(Datos!DV12),Datos!DV12," - ")</f>
        <v xml:space="preserve"> - </v>
      </c>
      <c r="AH12" s="508"/>
      <c r="AI12" s="509"/>
      <c r="AJ12" s="507">
        <f>IF(ISNUMBER(Datos!M12),Datos!M12," - ")</f>
        <v>41</v>
      </c>
      <c r="AK12" s="620">
        <f>IF(ISNUMBER(Datos!N12),Datos!N12," - ")</f>
        <v>32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12.175438596491228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-1.4925373134328358E-2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93</v>
      </c>
      <c r="G14" s="1045">
        <f>SUBTOTAL(9,G8:G13)</f>
        <v>93</v>
      </c>
      <c r="H14" s="1055"/>
      <c r="I14" s="1045">
        <f t="shared" ref="I14:N14" si="1">SUBTOTAL(9,I8:I13)</f>
        <v>0</v>
      </c>
      <c r="J14" s="1014">
        <f t="shared" si="1"/>
        <v>0</v>
      </c>
      <c r="K14" s="1055">
        <f t="shared" si="1"/>
        <v>0</v>
      </c>
      <c r="L14" s="1055">
        <f t="shared" si="1"/>
        <v>0</v>
      </c>
      <c r="M14" s="1055">
        <f t="shared" si="1"/>
        <v>0</v>
      </c>
      <c r="N14" s="1055">
        <f t="shared" si="1"/>
        <v>219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118</v>
      </c>
      <c r="AA14" s="1047">
        <f t="shared" si="3"/>
        <v>92</v>
      </c>
      <c r="AB14" s="1047">
        <f t="shared" si="3"/>
        <v>0</v>
      </c>
      <c r="AC14" s="1047">
        <f t="shared" si="3"/>
        <v>0</v>
      </c>
      <c r="AD14" s="1047">
        <f t="shared" si="3"/>
        <v>0</v>
      </c>
      <c r="AE14" s="1047">
        <f t="shared" si="3"/>
        <v>8238</v>
      </c>
      <c r="AF14" s="1055">
        <f t="shared" si="3"/>
        <v>0</v>
      </c>
      <c r="AG14" s="1055">
        <f t="shared" si="3"/>
        <v>0</v>
      </c>
      <c r="AH14" s="1055">
        <f t="shared" si="3"/>
        <v>0</v>
      </c>
      <c r="AI14" s="1055">
        <f t="shared" si="3"/>
        <v>0</v>
      </c>
      <c r="AJ14" s="1055">
        <f t="shared" si="3"/>
        <v>404</v>
      </c>
      <c r="AK14" s="1055">
        <f t="shared" si="3"/>
        <v>426</v>
      </c>
      <c r="AL14" s="1055">
        <f t="shared" si="3"/>
        <v>0</v>
      </c>
      <c r="AM14" s="1055">
        <f t="shared" si="3"/>
        <v>0</v>
      </c>
      <c r="AN14" s="1055">
        <f t="shared" si="3"/>
        <v>0</v>
      </c>
      <c r="AO14" s="1051">
        <f>IF(ISNUMBER(((NºAsuntos!I14/NºAsuntos!G14)*11)/factor_trimestre),((NºAsuntos!I14/NºAsuntos!G14)*11)/factor_trimestre," - ")</f>
        <v>12.424528301886795</v>
      </c>
      <c r="AP14" s="1057" t="str">
        <f>IF(ISNUMBER(Datos!CI14/Datos!CJ14),Datos!CI14/Datos!CJ14," - ")</f>
        <v xml:space="preserve"> - </v>
      </c>
      <c r="AQ14" s="1075">
        <f t="shared" ref="AQ14:AV14" si="4">SUBTOTAL(9,AQ9:AQ13)</f>
        <v>0</v>
      </c>
      <c r="AR14" s="1075">
        <f t="shared" si="4"/>
        <v>-8.009290404777071E-2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2304</v>
      </c>
      <c r="G16" s="507">
        <f>IF(ISNUMBER(IF(D_I="SI",Datos!I16,Datos!I16+Datos!AC16)),IF(D_I="SI",Datos!I16,Datos!I16+Datos!AC16)," - ")</f>
        <v>2304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1082</v>
      </c>
      <c r="Z16" s="704">
        <f>IF(ISNUMBER(Datos!Q16),Datos!Q16," - ")</f>
        <v>10</v>
      </c>
      <c r="AA16" s="506">
        <f>IF(ISNUMBER(IF(D_I="SI",Datos!L16,Datos!L16+Datos!AF16)),IF(D_I="SI",Datos!L16,Datos!L16+Datos!AF16)," - ")</f>
        <v>2652</v>
      </c>
      <c r="AB16" s="504"/>
      <c r="AC16" s="504"/>
      <c r="AD16" s="517"/>
      <c r="AE16" s="517">
        <f>IF(ISNUMBER(Datos!R16),Datos!R16," - ")</f>
        <v>136</v>
      </c>
      <c r="AF16" s="620" t="str">
        <f>IF(ISNUMBER(Datos!BV16),Datos!BV16," - ")</f>
        <v xml:space="preserve"> - </v>
      </c>
      <c r="AG16" s="507"/>
      <c r="AH16" s="508"/>
      <c r="AI16" s="509"/>
      <c r="AJ16" s="507">
        <f>IF(ISNUMBER(Datos!M16),Datos!M16," - ")</f>
        <v>137</v>
      </c>
      <c r="AK16" s="620">
        <f>IF(ISNUMBER(Datos!N16),Datos!N16," - ")</f>
        <v>549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7.3530499075785585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656</v>
      </c>
      <c r="G17" s="507">
        <f>IF(ISNUMBER(IF(D_I="SI",Datos!I17,Datos!I17+Datos!AC17)),IF(D_I="SI",Datos!I17,Datos!I17+Datos!AC17)," - ")</f>
        <v>652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324</v>
      </c>
      <c r="Z17" s="704">
        <f>IF(ISNUMBER(Datos!Q17),Datos!Q17," - ")</f>
        <v>9</v>
      </c>
      <c r="AA17" s="506">
        <f>IF(ISNUMBER(IF(D_I="SI",Datos!L17,Datos!L17+Datos!AF17)),IF(D_I="SI",Datos!L17,Datos!L17+Datos!AF17)," - ")</f>
        <v>368</v>
      </c>
      <c r="AB17" s="504"/>
      <c r="AC17" s="504"/>
      <c r="AD17" s="517"/>
      <c r="AE17" s="517">
        <f>IF(ISNUMBER(Datos!R17),Datos!R17," - ")</f>
        <v>172</v>
      </c>
      <c r="AF17" s="620" t="str">
        <f>IF(ISNUMBER(Datos!BV17),Datos!BV17," - ")</f>
        <v xml:space="preserve"> - </v>
      </c>
      <c r="AG17" s="507"/>
      <c r="AH17" s="508"/>
      <c r="AI17" s="509"/>
      <c r="AJ17" s="507">
        <f>IF(ISNUMBER(Datos!M17),Datos!M17," - ")</f>
        <v>19</v>
      </c>
      <c r="AK17" s="620">
        <f>IF(ISNUMBER(Datos!N17),Datos!N17," - ")</f>
        <v>253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3.407407407407407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75</v>
      </c>
      <c r="Z18" s="704">
        <f>IF(ISNUMBER(Datos!Q18),Datos!Q18," - ")</f>
        <v>2</v>
      </c>
      <c r="AA18" s="506">
        <f>IF(ISNUMBER(Datos!L18),Datos!L18,"-")</f>
        <v>88</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17</v>
      </c>
      <c r="AK18" s="620">
        <f>IF(ISNUMBER(Datos!N18),Datos!N18," - ")</f>
        <v>76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3.52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2960</v>
      </c>
      <c r="G20" s="1045">
        <f>SUBTOTAL(9,G16:G19)</f>
        <v>3053</v>
      </c>
      <c r="H20" s="1079">
        <f>SUBTOTAL(9,H16:H19)</f>
        <v>0</v>
      </c>
      <c r="I20" s="1058">
        <f>SUBTOTAL(9,I16:I19)</f>
        <v>0</v>
      </c>
      <c r="J20" s="1014">
        <f>SUBTOTAL(9,J15:J19)</f>
        <v>0</v>
      </c>
      <c r="K20" s="1079">
        <f t="shared" ref="K20:S20" si="5">SUBTOTAL(9,K16:K19)</f>
        <v>0</v>
      </c>
      <c r="L20" s="1079">
        <f t="shared" si="5"/>
        <v>0</v>
      </c>
      <c r="M20" s="1079">
        <f t="shared" si="5"/>
        <v>0</v>
      </c>
      <c r="N20" s="1079">
        <f t="shared" si="5"/>
        <v>33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1481</v>
      </c>
      <c r="Z20" s="1079">
        <f t="shared" si="6"/>
        <v>21</v>
      </c>
      <c r="AA20" s="1079">
        <f t="shared" si="6"/>
        <v>3108</v>
      </c>
      <c r="AB20" s="1079">
        <f t="shared" si="6"/>
        <v>0</v>
      </c>
      <c r="AC20" s="1079">
        <f t="shared" si="6"/>
        <v>0</v>
      </c>
      <c r="AD20" s="1079">
        <f t="shared" si="6"/>
        <v>0</v>
      </c>
      <c r="AE20" s="1079">
        <f t="shared" si="6"/>
        <v>312</v>
      </c>
      <c r="AF20" s="1079">
        <f t="shared" si="6"/>
        <v>0</v>
      </c>
      <c r="AG20" s="1079">
        <f t="shared" si="6"/>
        <v>0</v>
      </c>
      <c r="AH20" s="1079">
        <f t="shared" si="6"/>
        <v>0</v>
      </c>
      <c r="AI20" s="1079">
        <f t="shared" si="6"/>
        <v>0</v>
      </c>
      <c r="AJ20" s="1079">
        <f t="shared" si="6"/>
        <v>173</v>
      </c>
      <c r="AK20" s="1079">
        <f t="shared" si="6"/>
        <v>878</v>
      </c>
      <c r="AL20" s="1079">
        <f t="shared" si="6"/>
        <v>0</v>
      </c>
      <c r="AM20" s="1079">
        <f t="shared" si="6"/>
        <v>0</v>
      </c>
      <c r="AN20" s="1079">
        <f t="shared" si="6"/>
        <v>0</v>
      </c>
      <c r="AO20" s="1081">
        <f>IF(ISNUMBER(((NºAsuntos!I20/NºAsuntos!G20)*11)/factor_trimestre),((NºAsuntos!I20/NºAsuntos!G20)*11)/factor_trimestre," - ")</f>
        <v>6.295746117488183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3053</v>
      </c>
      <c r="G21" s="967">
        <f t="shared" si="8"/>
        <v>3146</v>
      </c>
      <c r="H21" s="968">
        <f t="shared" si="8"/>
        <v>0</v>
      </c>
      <c r="I21" s="967">
        <f t="shared" si="8"/>
        <v>0</v>
      </c>
      <c r="J21" s="969">
        <f t="shared" si="8"/>
        <v>0</v>
      </c>
      <c r="K21" s="967">
        <f t="shared" si="8"/>
        <v>0</v>
      </c>
      <c r="L21" s="970">
        <f t="shared" si="8"/>
        <v>0</v>
      </c>
      <c r="M21" s="967">
        <f t="shared" si="8"/>
        <v>0</v>
      </c>
      <c r="N21" s="968">
        <f t="shared" si="8"/>
        <v>252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1487</v>
      </c>
      <c r="Z21" s="974">
        <f t="shared" si="9"/>
        <v>139</v>
      </c>
      <c r="AA21" s="975">
        <f t="shared" si="9"/>
        <v>3200</v>
      </c>
      <c r="AB21" s="975">
        <f t="shared" si="9"/>
        <v>0</v>
      </c>
      <c r="AC21" s="975">
        <f t="shared" si="9"/>
        <v>0</v>
      </c>
      <c r="AD21" s="976">
        <f t="shared" si="9"/>
        <v>0</v>
      </c>
      <c r="AE21" s="976">
        <f t="shared" si="9"/>
        <v>8550</v>
      </c>
      <c r="AF21" s="977">
        <f t="shared" si="9"/>
        <v>0</v>
      </c>
      <c r="AG21" s="978">
        <f t="shared" si="9"/>
        <v>0</v>
      </c>
      <c r="AH21" s="979">
        <f t="shared" si="9"/>
        <v>0</v>
      </c>
      <c r="AI21" s="977">
        <f t="shared" si="9"/>
        <v>0</v>
      </c>
      <c r="AJ21" s="967">
        <f t="shared" si="9"/>
        <v>577</v>
      </c>
      <c r="AK21" s="967">
        <f t="shared" si="9"/>
        <v>1304</v>
      </c>
      <c r="AL21" s="967">
        <f t="shared" si="9"/>
        <v>0</v>
      </c>
      <c r="AM21" s="980">
        <f t="shared" si="9"/>
        <v>0</v>
      </c>
      <c r="AN21" s="970">
        <f>IF(ISNUMBER(Datos!K21/Datos!J21),Datos!K21/Datos!J21," - ")</f>
        <v>0.94435075885328834</v>
      </c>
      <c r="AO21" s="970">
        <f>IF(ISNUMBER(FIND("06",Criterios!A8,1)),(IF(ISNUMBER(((Datos!R21/Datos!Q21)*11)/factor_trimestre),((Datos!R21/Datos!Q21)*11)/factor_trimestre," - ")),(IF(ISNUMBER(((Datos!L21/Datos!K21)*11)/factor_trimestre),((Datos!L21/Datos!K21)*11)/factor_trimestre," - ")))</f>
        <v>9.5121428571428588</v>
      </c>
      <c r="AP21" s="981" t="str">
        <f>IF(ISNUMBER(Datos!CI21/Datos!CJ21),Datos!CI21/Datos!CJ21," - ")</f>
        <v xml:space="preserve"> - </v>
      </c>
      <c r="AQ21" s="981">
        <f>IF(OR(ISNUMBER(FIND("01",Criterios!A8,1)),ISNUMBER(FIND("02",Criterios!A8,1)),ISNUMBER(FIND("03",Criterios!A8,1)),ISNUMBER(FIND("04",Criterios!A8,1))),(J21-Y21+K21)/(F21-K21),(I21-Y21+K21)/(F21-K21))</f>
        <v>-0.48706190632165086</v>
      </c>
      <c r="AR21" s="981">
        <f>IF(ISNUMBER((Datos!P21-Datos!Q21+O21)/(Datos!R21-Datos!P21+Datos!Q21-O21)),(Datos!P21-Datos!Q21+O21)/(Datos!R21-Datos!P21+Datos!Q21-O21)," - ")</f>
        <v>1.3393386274742207E-2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1048.6666666666667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1328.6273743981042</v>
      </c>
      <c r="G23" s="601">
        <f>IF(ISNUMBER(STDEV(G8:G20)),STDEV(G8:G20),"-")</f>
        <v>1302.5225781792292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160.15595078369262</v>
      </c>
      <c r="AK23" s="257"/>
      <c r="AL23" s="257">
        <f>IF(ISNUMBER(STDEV(AL8:AL20)),STDEV(AL8:AL20),"-")</f>
        <v>0</v>
      </c>
      <c r="AM23" s="259">
        <f>IF(ISNUMBER(STDEV(AM8:AM20)),STDEV(AM8:AM20),"-")</f>
        <v>0</v>
      </c>
      <c r="AN23" s="587">
        <f>IF(ISNUMBER(STDEV(AN8:AN20)),STDEV(AN8:AN20),"-")</f>
        <v>0</v>
      </c>
      <c r="AO23" s="588">
        <f>IF(ISNUMBER(STDEV(AO8:AO20)),STDEV(AO8:AO20),"-")</f>
        <v>13.883115586214721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OknY4/e7hEi+yNm40KZs76kB7cQh1hFqd/QVkg+k0vFSiw1D4TQp2s1ChPX2o5xlvwvRzxSwGbTloBTHsB63g==" saltValue="Ty6lqePH7DamkiyYtVVb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TlP9aasSxFVKtL5ueFV2OxLe5kMZN6a4augWissUGR48k+DOfZaFAJf6H8bjM/ZbN/hl4wFkZU3Eef7Lwvt9g==" saltValue="rDStNQk82SxmKzkcrTY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jsv52KcHvxQfbNRj5MQm9FkkzN/zdt4ifZ01mGz3z5NzZpn8lqWbCc/KKVUtemp3aOUFxkdIlwzAJ0CrrThqg==" saltValue="AHLUjUHGu+nCoQ5SrnFq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TOLEDO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0.27223719676549868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0.19250076792410056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qS6w1yO1V3TRHqaMavboqAgJgSSAZ3GPwm9wB/Xjhfod7WUVjop7S5HMnTjrfOsl6KsAg/N0XDXMhEO5ETNDQ==" saltValue="Su9sINS49mSUhS5q9QU8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P/lYV0+lQ3h3Yns+ohY5s450UIhKyoJDUBRn3M2Ag6GvjoRTmfG6nLHBD3rPGW4vdhyOyDp98/C71C8Lyd2C0w==" saltValue="ko4aQpDlKstPv41gYBB5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TOLEDO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5212</v>
      </c>
      <c r="D9" s="416">
        <f>IF(ISNUMBER(C9/Datos!BH9),C9/Datos!BH9," - ")</f>
        <v>1042.4000000000001</v>
      </c>
      <c r="E9" s="415">
        <f>IF(ISNUMBER(IF(J_V="SI",Datos!J9,Datos!J9+Datos!Z9)),IF(J_V="SI",Datos!J9,Datos!J9+Datos!Z9)," - ")</f>
        <v>1556</v>
      </c>
      <c r="F9" s="416">
        <f>IF(ISNUMBER(E9/B9),E9/B9," - ")</f>
        <v>311.2</v>
      </c>
      <c r="G9" s="415">
        <f>IF(ISNUMBER(IF(J_V="SI",Datos!K9,Datos!K9+Datos!AA9)),IF(J_V="SI",Datos!K9,Datos!K9+Datos!AA9)," - ")</f>
        <v>1307</v>
      </c>
      <c r="H9" s="416">
        <f>IF(ISNUMBER(G9/B9),G9/B9," - ")</f>
        <v>261.39999999999998</v>
      </c>
      <c r="I9" s="415">
        <f>IF(ISNUMBER(IF(J_V="SI",Datos!L9,Datos!L9+Datos!AB9)),IF(J_V="SI",Datos!L9,Datos!L9+Datos!AB9)," - ")</f>
        <v>5360</v>
      </c>
      <c r="J9" s="416">
        <f>IF(ISNUMBER(I9/B9),I9/B9," - ")</f>
        <v>1072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93</v>
      </c>
      <c r="D10" s="416">
        <f>IF(ISNUMBER(C10/Datos!BH10),C10/Datos!BH10," - ")</f>
        <v>93</v>
      </c>
      <c r="E10" s="415">
        <f>IF(ISNUMBER(Datos!J10),Datos!J10," - ")</f>
        <v>5</v>
      </c>
      <c r="F10" s="416">
        <f>IF(ISNUMBER(E10/B10),E10/B10," - ")</f>
        <v>5</v>
      </c>
      <c r="G10" s="415">
        <f>IF(ISNUMBER(Datos!K10),Datos!K10," - ")</f>
        <v>6</v>
      </c>
      <c r="H10" s="416">
        <f>IF(ISNUMBER(G10/B10),G10/B10," - ")</f>
        <v>6</v>
      </c>
      <c r="I10" s="415">
        <f>IF(ISNUMBER(Datos!L10),Datos!L10," - ")</f>
        <v>92</v>
      </c>
      <c r="J10" s="416">
        <f>IF(ISNUMBER(I10/B10),I10/B10," - ")</f>
        <v>92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813</v>
      </c>
      <c r="D12" s="416" t="str">
        <f>IF(ISNUMBER(C12/Datos!BH12),C12/Datos!BH12," - ")</f>
        <v xml:space="preserve"> - </v>
      </c>
      <c r="E12" s="415">
        <f>IF(ISNUMBER(IF(J_V="SI",Datos!J12,Datos!J12+Datos!Z12)),IF(J_V="SI",Datos!J12,Datos!J12+Datos!Z12)," - ")</f>
        <v>52</v>
      </c>
      <c r="F12" s="416" t="str">
        <f>IF(ISNUMBER(E12/B12),E12/B12," - ")</f>
        <v xml:space="preserve"> - </v>
      </c>
      <c r="G12" s="415">
        <f>IF(ISNUMBER(IF(J_V="SI",Datos!K12,Datos!K12+Datos!AA12)),IF(J_V="SI",Datos!K12,Datos!K12+Datos!AA12)," - ")</f>
        <v>171</v>
      </c>
      <c r="H12" s="416" t="str">
        <f>IF(ISNUMBER(G12/B12),G12/B12," - ")</f>
        <v xml:space="preserve"> - </v>
      </c>
      <c r="I12" s="415">
        <f>IF(ISNUMBER(IF(J_V="SI",Datos!L12,Datos!L12+Datos!AB12)),IF(J_V="SI",Datos!L12,Datos!L12+Datos!AB12)," - ")</f>
        <v>694</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6118</v>
      </c>
      <c r="D14" s="997" t="str">
        <f>IF(ISNUMBER(C14/Datos!BI14),C14/Datos!BI14," - ")</f>
        <v xml:space="preserve"> - </v>
      </c>
      <c r="E14" s="996">
        <f>SUBTOTAL(9,E8:E13)</f>
        <v>1613</v>
      </c>
      <c r="F14" s="997">
        <f>IF(ISNUMBER(E14/B14),E14/B14," - ")</f>
        <v>322.60000000000002</v>
      </c>
      <c r="G14" s="996">
        <f>SUBTOTAL(9,G8:G13)</f>
        <v>1484</v>
      </c>
      <c r="H14" s="997">
        <f>IF(ISNUMBER(G14/B14),G14/B14," - ")</f>
        <v>296.8</v>
      </c>
      <c r="I14" s="996">
        <f>SUBTOTAL(9,I8:I13)</f>
        <v>6146</v>
      </c>
      <c r="J14" s="997">
        <f>IF(ISNUMBER(I14/B14),I14/B14," - ")</f>
        <v>1229.2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2304</v>
      </c>
      <c r="D16" s="416">
        <f>IF(ISNUMBER(C16/Datos!BH16),C16/Datos!BH16," - ")</f>
        <v>768</v>
      </c>
      <c r="E16" s="415">
        <f>IF(ISNUMBER(IF(D_I="SI",Datos!J16,Datos!J16+Datos!AD16)),IF(D_I="SI",Datos!J16,Datos!J16+Datos!AD16)," - ")</f>
        <v>1430</v>
      </c>
      <c r="F16" s="416">
        <f>IF(ISNUMBER(E16/B16),E16/B16," - ")</f>
        <v>476.66666666666669</v>
      </c>
      <c r="G16" s="415">
        <f>IF(ISNUMBER(IF(D_I="SI",Datos!K16,Datos!K16+Datos!AE16)),IF(D_I="SI",Datos!K16,Datos!K16+Datos!AE16)," - ")</f>
        <v>1082</v>
      </c>
      <c r="H16" s="416">
        <f>IF(ISNUMBER(G16/B16),G16/B16," - ")</f>
        <v>360.66666666666669</v>
      </c>
      <c r="I16" s="415">
        <f>IF(ISNUMBER(IF(D_I="SI",Datos!L16,Datos!L16+Datos!AF16)),IF(D_I="SI",Datos!L16,Datos!L16+Datos!AF16)," - ")</f>
        <v>2652</v>
      </c>
      <c r="J16" s="416">
        <f>IF(ISNUMBER(I16/B16),I16/B16," - ")</f>
        <v>884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652</v>
      </c>
      <c r="D17" s="416" t="str">
        <f>IF(ISNUMBER(C17/Datos!BH17),C17/Datos!BH17," - ")</f>
        <v xml:space="preserve"> - </v>
      </c>
      <c r="E17" s="415">
        <f>IF(ISNUMBER(IF(D_I="SI",Datos!J17,Datos!J17+Datos!AD17)),IF(D_I="SI",Datos!J17,Datos!J17+Datos!AD17)," - ")</f>
        <v>36</v>
      </c>
      <c r="F17" s="416" t="str">
        <f>IF(ISNUMBER(E17/B17),E17/B17," - ")</f>
        <v xml:space="preserve"> - </v>
      </c>
      <c r="G17" s="415">
        <f>IF(ISNUMBER(IF(D_I="SI",Datos!K17,Datos!K17+Datos!AE17)),IF(D_I="SI",Datos!K17,Datos!K17+Datos!AE17)," - ")</f>
        <v>324</v>
      </c>
      <c r="H17" s="416" t="str">
        <f>IF(ISNUMBER(G17/B17),G17/B17," - ")</f>
        <v xml:space="preserve"> - </v>
      </c>
      <c r="I17" s="415">
        <f>IF(ISNUMBER(IF(D_I="SI",Datos!L17,Datos!L17+Datos!AF17)),IF(D_I="SI",Datos!L17,Datos!L17+Datos!AF17)," - ")</f>
        <v>368</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97</v>
      </c>
      <c r="D18" s="416">
        <f>IF(ISNUMBER(C18/Datos!BH18),C18/Datos!BH18," - ")</f>
        <v>97</v>
      </c>
      <c r="E18" s="415">
        <f>IF(ISNUMBER(IF(D_I="SI",Datos!J18,Datos!J18+Datos!AD18)),IF(D_I="SI",Datos!J18,Datos!J18+Datos!AD18)," - ")</f>
        <v>66</v>
      </c>
      <c r="F18" s="416">
        <f>IF(ISNUMBER(E18/B18),E18/B18," - ")</f>
        <v>66</v>
      </c>
      <c r="G18" s="415">
        <f>IF(ISNUMBER(IF(D_I="SI",Datos!K18,Datos!K18+Datos!AE18)),IF(D_I="SI",Datos!K18,Datos!K18+Datos!AE18)," - ")</f>
        <v>75</v>
      </c>
      <c r="H18" s="416">
        <f>IF(ISNUMBER(G18/B18),G18/B18," - ")</f>
        <v>75</v>
      </c>
      <c r="I18" s="415">
        <f>IF(ISNUMBER(IF(D_I="SI",Datos!L18,Datos!L18+Datos!AF18)),IF(D_I="SI",Datos!L18,Datos!L18+Datos!AF18)," - ")</f>
        <v>88</v>
      </c>
      <c r="J18" s="416">
        <f>IF(ISNUMBER(I18/B18),I18/B18," - ")</f>
        <v>88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3053</v>
      </c>
      <c r="D20" s="997" t="str">
        <f>IF(ISNUMBER(C20/Datos!BI20),C20/Datos!BI20," - ")</f>
        <v xml:space="preserve"> - </v>
      </c>
      <c r="E20" s="996">
        <f>SUBTOTAL(9,E15:E19)</f>
        <v>1532</v>
      </c>
      <c r="F20" s="997">
        <f>IF(ISNUMBER(E20/B20),E20/B20," - ")</f>
        <v>510.66666666666669</v>
      </c>
      <c r="G20" s="996">
        <f>SUBTOTAL(9,G15:G19)</f>
        <v>1481</v>
      </c>
      <c r="H20" s="997">
        <f>IF(ISNUMBER(G20/B20),G20/B20," - ")</f>
        <v>493.66666666666669</v>
      </c>
      <c r="I20" s="996">
        <f>SUBTOTAL(9,I15:I19)</f>
        <v>3108</v>
      </c>
      <c r="J20" s="997">
        <f>IF(ISNUMBER(I20/B20),I20/B20," - ")</f>
        <v>1036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9171</v>
      </c>
      <c r="D21" s="942" t="str">
        <f>IF(ISNUMBER(C21/Datos!BI21),C21/Datos!BI21," - ")</f>
        <v xml:space="preserve"> - </v>
      </c>
      <c r="E21" s="941">
        <f>SUBTOTAL(9,E9:E20)</f>
        <v>3145</v>
      </c>
      <c r="F21" s="942">
        <f>IF(ISNUMBER(E21/B21),E21/B21," - ")</f>
        <v>393.125</v>
      </c>
      <c r="G21" s="941">
        <f>SUBTOTAL(9,G9:G20)</f>
        <v>2965</v>
      </c>
      <c r="H21" s="942">
        <f>IF(ISNUMBER(G21/B21),G21/B21," - ")</f>
        <v>370.625</v>
      </c>
      <c r="I21" s="941">
        <f>SUBTOTAL(9,I9:I20)</f>
        <v>9254</v>
      </c>
      <c r="J21" s="942">
        <f>IF(ISNUMBER(I21/B21),I21/B21," - ")</f>
        <v>1156.75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Gtq2Skx1I9rDlc4pkD55ebQVbQchkj0nWOGrrOtFaAWRWXoYgdbbYYB/eDKQArS6noDKnuAV7yF+NMK9YssVQ==" saltValue="5oT3GIxIYlRhkLmkQhiZb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TOLEDO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93</v>
      </c>
      <c r="G10" s="803">
        <f>IF(ISNUMBER(Datos!I10),Datos!I10," - ")</f>
        <v>93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92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46.000000000000007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1980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41</v>
      </c>
      <c r="AM12" s="811">
        <f>IF(ISNUMBER(Datos!N12+DatosP!N17),Datos!N12+DatosP!N17," - ")</f>
        <v>32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12.175438596491228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-1.4925373134328358E-2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93</v>
      </c>
      <c r="G14" s="1085">
        <f t="shared" si="0"/>
        <v>93</v>
      </c>
      <c r="H14" s="1085">
        <f t="shared" si="0"/>
        <v>0</v>
      </c>
      <c r="I14" s="1087">
        <f t="shared" si="0"/>
        <v>0</v>
      </c>
      <c r="J14" s="1086">
        <f t="shared" si="0"/>
        <v>0</v>
      </c>
      <c r="K14" s="1086">
        <f t="shared" si="0"/>
        <v>0</v>
      </c>
      <c r="L14" s="1088">
        <f t="shared" si="0"/>
        <v>0</v>
      </c>
      <c r="M14" s="1088">
        <f t="shared" si="0"/>
        <v>0</v>
      </c>
      <c r="N14" s="1086">
        <f t="shared" si="0"/>
        <v>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31</v>
      </c>
      <c r="AE14" s="1086">
        <f t="shared" si="1"/>
        <v>0</v>
      </c>
      <c r="AF14" s="1086">
        <f t="shared" si="1"/>
        <v>92</v>
      </c>
      <c r="AG14" s="1086">
        <f t="shared" si="1"/>
        <v>0</v>
      </c>
      <c r="AH14" s="1086">
        <f t="shared" si="1"/>
        <v>1980</v>
      </c>
      <c r="AI14" s="1086">
        <f t="shared" si="1"/>
        <v>0</v>
      </c>
      <c r="AJ14" s="1086">
        <f t="shared" si="1"/>
        <v>0</v>
      </c>
      <c r="AK14" s="1086">
        <f t="shared" si="1"/>
        <v>0</v>
      </c>
      <c r="AL14" s="1086">
        <f t="shared" si="1"/>
        <v>41</v>
      </c>
      <c r="AM14" s="1086">
        <f t="shared" si="1"/>
        <v>32</v>
      </c>
      <c r="AN14" s="1086">
        <f t="shared" si="1"/>
        <v>0</v>
      </c>
      <c r="AO14" s="1086">
        <f t="shared" si="1"/>
        <v>0</v>
      </c>
      <c r="AP14" s="1091">
        <f>IF(ISNUMBER(((Datos!L14/Datos!K14)*11)/factor_trimestre),((Datos!L14/Datos!K14)*11)/factor_trimestre," - ")</f>
        <v>13.12357846853677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-6.4516129032258063E-2</v>
      </c>
      <c r="AU14" s="1086" t="str">
        <f>IF(ISNUMBER((DatosP!#REF!-DatosP!#REF!+DatosP!#REF!)/(DatosP!#REF!+DatosP!#REF!-DatosP!#REF!-DatosP!#REF!)),(DatosP!#REF!-DatosP!#REF!+DatosP!#REF!)/(DatosP!#REF!+DatosP!#REF!-DatosP!#REF!-DatosP!#REF!)," - ")</f>
        <v xml:space="preserve"> - </v>
      </c>
      <c r="AV14" s="1092">
        <f>SUBTOTAL(9,AV9:AV13)</f>
        <v>-1.4925373134328358E-2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6.295746117488183</v>
      </c>
      <c r="AQ20" s="1091">
        <f>IF(ISNUMBER(((Datos!M20/Datos!L20)*11)/factor_trimestre),((Datos!M20/Datos!L20)*11)/factor_trimestre," - ")</f>
        <v>0.16698841698841699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0.04</v>
      </c>
      <c r="AW20" s="1093">
        <f>IF(ISNUMBER((Datos!Q20-Datos!R20)/(Datos!S20-Datos!Q20+Datos!R20)),(Datos!Q20-Datos!R20)/(Datos!S20-Datos!Q20+Datos!R20)," - ")</f>
        <v>-0.12751971954425942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93</v>
      </c>
      <c r="G21" s="1098">
        <f t="shared" si="4"/>
        <v>93</v>
      </c>
      <c r="H21" s="1098">
        <f t="shared" si="4"/>
        <v>0</v>
      </c>
      <c r="I21" s="1099">
        <f t="shared" si="4"/>
        <v>0</v>
      </c>
      <c r="J21" s="1100">
        <f t="shared" si="4"/>
        <v>0</v>
      </c>
      <c r="K21" s="1100">
        <f t="shared" si="4"/>
        <v>0</v>
      </c>
      <c r="L21" s="1100">
        <f t="shared" si="4"/>
        <v>0</v>
      </c>
      <c r="M21" s="1100">
        <f t="shared" si="4"/>
        <v>0</v>
      </c>
      <c r="N21" s="1099">
        <f t="shared" si="4"/>
        <v>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31</v>
      </c>
      <c r="AE21" s="1104">
        <f t="shared" si="5"/>
        <v>0</v>
      </c>
      <c r="AF21" s="1105">
        <f t="shared" si="5"/>
        <v>92</v>
      </c>
      <c r="AG21" s="1105">
        <f t="shared" si="5"/>
        <v>0</v>
      </c>
      <c r="AH21" s="1105">
        <f t="shared" si="5"/>
        <v>1980</v>
      </c>
      <c r="AI21" s="1105">
        <f t="shared" si="5"/>
        <v>0</v>
      </c>
      <c r="AJ21" s="1106">
        <f t="shared" si="5"/>
        <v>0</v>
      </c>
      <c r="AK21" s="1106">
        <f t="shared" si="5"/>
        <v>0</v>
      </c>
      <c r="AL21" s="1098">
        <f t="shared" si="5"/>
        <v>41</v>
      </c>
      <c r="AM21" s="1098">
        <f t="shared" si="5"/>
        <v>32</v>
      </c>
      <c r="AN21" s="1098">
        <f t="shared" si="5"/>
        <v>0</v>
      </c>
      <c r="AO21" s="1098">
        <f t="shared" si="5"/>
        <v>0</v>
      </c>
      <c r="AP21" s="1098">
        <f>IF(ISNUMBER(((Datos!L21/Datos!K21)*11)/factor_trimestre),((Datos!L21/Datos!K21)*11)/factor_trimestre," - ")</f>
        <v>9.5121428571428588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-6.4516129032258063E-2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1.3393386274742207E-2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53.693575034635195</v>
      </c>
      <c r="G23" s="871">
        <f>IF(ISNUMBER(STDEV(G8:G20)),STDEV(G8:G20),"-")</f>
        <v>53.693575034635195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23.671361036774655</v>
      </c>
      <c r="AM23" s="870"/>
      <c r="AN23" s="870">
        <f>IF(ISNUMBER(STDEV(AN8:AN20)),STDEV(AN8:AN20),"-")</f>
        <v>0</v>
      </c>
      <c r="AO23" s="876">
        <f>IF(ISNUMBER(STDEV(AO8:AO20)),STDEV(AO8:AO20),"-")</f>
        <v>0</v>
      </c>
      <c r="AP23" s="923">
        <f>IF(ISNUMBER(STDEV(AP8:AP20)),STDEV(AP8:AP20),"-")</f>
        <v>17.989526746368714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SlMeuTJgHl1zwduvtfpRZmwDuMTD/Bc2UwuftzNvqbunk2W2sxLNiwAiFoyzM9q036p/QSkKGSYszFjOMnQ3g==" saltValue="fppofiQ0FSDPgi1jTOLC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TOLEDO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7eOKR1E/yI+ztj08hsO9b1++PB8aL+yeQhgCFlhozkMszNPHWtPBdpxGz8Wfgfy2juqsBCFi3voXYkP17MO8Hw==" saltValue="aFl2gujbW/Wopr22uWsY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TOLEDO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363</v>
      </c>
      <c r="E9" s="416">
        <f t="shared" ref="E9:E14" si="0">IF(ISNUMBER(D9/B9),D9/B9," - ")</f>
        <v>72.599999999999994</v>
      </c>
      <c r="F9" s="415">
        <f>IF(ISNUMBER(Datos!N9),Datos!N9," - ")</f>
        <v>394</v>
      </c>
      <c r="G9" s="416">
        <f t="shared" ref="G9:G14" si="1">IF(ISNUMBER(F9/B9),F9/B9," - ")</f>
        <v>78.8</v>
      </c>
      <c r="H9" s="415">
        <f>IF(ISNUMBER(Datos!O9),Datos!O9," - ")</f>
        <v>311</v>
      </c>
      <c r="I9" s="416">
        <f>IF(ISNUMBER(H9/B9),H9/B9," - ")</f>
        <v>62.2</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41</v>
      </c>
      <c r="E12" s="416" t="str">
        <f t="shared" si="0"/>
        <v xml:space="preserve"> - </v>
      </c>
      <c r="F12" s="415">
        <f>IF(ISNUMBER(Datos!N12),Datos!N12," - ")</f>
        <v>32</v>
      </c>
      <c r="G12" s="416" t="str">
        <f t="shared" si="1"/>
        <v xml:space="preserve"> - </v>
      </c>
      <c r="H12" s="415">
        <f>IF(ISNUMBER(Datos!O12),Datos!O12," - ")</f>
        <v>40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404</v>
      </c>
      <c r="E14" s="997">
        <f t="shared" si="0"/>
        <v>67.333333333333329</v>
      </c>
      <c r="F14" s="996">
        <f>SUBTOTAL(9,F9:F13)</f>
        <v>426</v>
      </c>
      <c r="G14" s="997">
        <f t="shared" si="1"/>
        <v>71</v>
      </c>
      <c r="H14" s="996">
        <f>SUBTOTAL(9,H9:H13)</f>
        <v>351</v>
      </c>
      <c r="I14" s="997">
        <f>IF(ISNUMBER(H14/B14),H14/B14," - ")</f>
        <v>58.5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137</v>
      </c>
      <c r="E16" s="416">
        <f t="shared" ref="E16:E20" si="3">IF(ISNUMBER(D16/B16),D16/B16," - ")</f>
        <v>45.666666666666664</v>
      </c>
      <c r="F16" s="415">
        <f>IF(ISNUMBER(Datos!N16),Datos!N16," - ")</f>
        <v>549</v>
      </c>
      <c r="G16" s="416">
        <f t="shared" ref="G16:G20" si="4">IF(ISNUMBER(F16/B16),F16/B16," - ")</f>
        <v>183</v>
      </c>
      <c r="H16" s="415">
        <f>IF(ISNUMBER(Datos!O16),Datos!O16," - ")</f>
        <v>4</v>
      </c>
      <c r="I16" s="416">
        <f t="shared" ref="I16:I19" si="5">IF(ISNUMBER(H16/B16),H16/B16," - ")</f>
        <v>1.3333333333333333</v>
      </c>
    </row>
    <row r="17" spans="1:9">
      <c r="A17" s="414" t="str">
        <f>Datos!A17</f>
        <v xml:space="preserve">Jdos. 1ª Instª. e Instr.                        </v>
      </c>
      <c r="B17" s="444">
        <f>Datos!AO17</f>
        <v>0</v>
      </c>
      <c r="C17" s="445">
        <f>Datos!AQ17</f>
        <v>0</v>
      </c>
      <c r="D17" s="415">
        <f>IF(ISNUMBER(Datos!M17),Datos!M17," - ")</f>
        <v>19</v>
      </c>
      <c r="E17" s="416" t="str">
        <f t="shared" si="3"/>
        <v xml:space="preserve"> - </v>
      </c>
      <c r="F17" s="415">
        <f>IF(ISNUMBER(Datos!N17),Datos!N17," - ")</f>
        <v>253</v>
      </c>
      <c r="G17" s="416" t="str">
        <f t="shared" si="4"/>
        <v xml:space="preserve"> - </v>
      </c>
      <c r="H17" s="415">
        <f>IF(ISNUMBER(Datos!O17),Datos!O17," - ")</f>
        <v>1</v>
      </c>
      <c r="I17" s="416" t="str">
        <f t="shared" si="5"/>
        <v xml:space="preserve"> - </v>
      </c>
    </row>
    <row r="18" spans="1:9">
      <c r="A18" s="414" t="str">
        <f>Datos!A18</f>
        <v>Jdos. Violencia contra la mujer</v>
      </c>
      <c r="B18" s="444">
        <f>Datos!AO18</f>
        <v>1</v>
      </c>
      <c r="C18" s="445">
        <f>Datos!AQ18</f>
        <v>0</v>
      </c>
      <c r="D18" s="415">
        <f>IF(ISNUMBER(Datos!M18),Datos!M18," - ")</f>
        <v>17</v>
      </c>
      <c r="E18" s="416">
        <f>IF(ISNUMBER(D18/B18),D18/B18," - ")</f>
        <v>17</v>
      </c>
      <c r="F18" s="415">
        <f>IF(ISNUMBER(Datos!N18),Datos!N18," - ")</f>
        <v>76</v>
      </c>
      <c r="G18" s="416">
        <f>IF(ISNUMBER(F18/B18),F18/B18," - ")</f>
        <v>76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173</v>
      </c>
      <c r="E20" s="997">
        <f t="shared" si="3"/>
        <v>43.25</v>
      </c>
      <c r="F20" s="996">
        <f>SUBTOTAL(9,F16:F19)</f>
        <v>878</v>
      </c>
      <c r="G20" s="997">
        <f t="shared" si="4"/>
        <v>219.5</v>
      </c>
      <c r="H20" s="996">
        <f>SUBTOTAL(9,H16:H19)</f>
        <v>5</v>
      </c>
      <c r="I20" s="997">
        <f>IF(ISNUMBER(H20/B20),H20/B20," - ")</f>
        <v>1.25</v>
      </c>
    </row>
    <row r="21" spans="1:9" ht="14.25" thickTop="1" thickBot="1">
      <c r="A21" s="940" t="str">
        <f>Datos!A21</f>
        <v>TOTAL JURISDICCIONES</v>
      </c>
      <c r="B21" s="941">
        <f>Datos!AP21</f>
        <v>8</v>
      </c>
      <c r="C21" s="941">
        <f>Datos!AR21</f>
        <v>8</v>
      </c>
      <c r="D21" s="941">
        <f>SUBTOTAL(9,D8:D20)</f>
        <v>577</v>
      </c>
      <c r="E21" s="942">
        <f>IF(ISNUMBER(D21/B21),D21/B21," - ")</f>
        <v>72.125</v>
      </c>
      <c r="F21" s="941">
        <f>SUBTOTAL(9,F8:F20)</f>
        <v>1304</v>
      </c>
      <c r="G21" s="942">
        <f>IF(ISNUMBER(F21/B21),F21/B21," - ")</f>
        <v>163</v>
      </c>
      <c r="H21" s="941">
        <f>SUBTOTAL(9,H8:H20)</f>
        <v>356</v>
      </c>
      <c r="I21" s="942">
        <f>IF(ISNUMBER(H21/B21),H21/B21," - ")</f>
        <v>44.5</v>
      </c>
    </row>
    <row r="24" spans="1:9">
      <c r="A24" s="403" t="str">
        <f>Criterios!A4</f>
        <v>Fecha Informe: 06 jun. 2023</v>
      </c>
    </row>
    <row r="29" spans="1:9">
      <c r="A29" s="426"/>
    </row>
  </sheetData>
  <sheetProtection algorithmName="SHA-512" hashValue="7UYdRY1bN+uNRExHiI1zY1GgmOiJgvIJYCk4ovbZKj2xmfEC1aQHHc9dnS+B9jP6rzbuxzfXQUtABT0QI1YPCA==" saltValue="3TLwyefR6hfkzuq/gRdQ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TOLEDO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218</v>
      </c>
      <c r="C9" s="451">
        <f>IF(ISNUMBER(Datos!Q9),Datos!Q9," - ")</f>
        <v>85</v>
      </c>
      <c r="D9" s="420">
        <f>IF(ISNUMBER(Datos!R9),Datos!R9," - ")</f>
        <v>6237</v>
      </c>
    </row>
    <row r="10" spans="1:4">
      <c r="A10" s="414" t="str">
        <f>Datos!A10</f>
        <v>Jdos. Violencia contra la mujer</v>
      </c>
      <c r="B10" s="450">
        <f>IF(ISNUMBER(Datos!P10),Datos!P10," - ")</f>
        <v>0</v>
      </c>
      <c r="C10" s="451">
        <f>IF(ISNUMBER(Datos!Q10),Datos!Q10," - ")</f>
        <v>2</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v>
      </c>
      <c r="C12" s="451">
        <f>IF(ISNUMBER(Datos!Q12),Datos!Q12," - ")</f>
        <v>31</v>
      </c>
      <c r="D12" s="420">
        <f>IF(ISNUMBER(Datos!R12),Datos!R12," - ")</f>
        <v>1980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219</v>
      </c>
      <c r="C14" s="1000">
        <f>SUBTOTAL(9,C9:C13)</f>
        <v>118</v>
      </c>
      <c r="D14" s="998">
        <f>SUBTOTAL(9,D9:D13)</f>
        <v>8238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v>
      </c>
      <c r="C16" s="451">
        <f>IF(ISNUMBER(Datos!Q16),Datos!Q16," - ")</f>
        <v>10</v>
      </c>
      <c r="D16" s="420">
        <f>IF(ISNUMBER(Datos!R16),Datos!R16," - ")</f>
        <v>136</v>
      </c>
    </row>
    <row r="17" spans="1:4">
      <c r="A17" s="414" t="str">
        <f>Datos!A17</f>
        <v xml:space="preserve">Jdos. 1ª Instª. e Instr.                        </v>
      </c>
      <c r="B17" s="450">
        <f>IF(ISNUMBER(Datos!P17),Datos!P17," - ")</f>
        <v>16</v>
      </c>
      <c r="C17" s="451">
        <f>IF(ISNUMBER(Datos!Q17),Datos!Q17," - ")</f>
        <v>9</v>
      </c>
      <c r="D17" s="420">
        <f>IF(ISNUMBER(Datos!R17),Datos!R17," - ")</f>
        <v>172</v>
      </c>
    </row>
    <row r="18" spans="1:4">
      <c r="A18" s="414" t="str">
        <f>Datos!A18</f>
        <v>Jdos. Violencia contra la mujer</v>
      </c>
      <c r="B18" s="450">
        <f>IF(ISNUMBER(Datos!P18),Datos!P18," - ")</f>
        <v>0</v>
      </c>
      <c r="C18" s="451">
        <f>IF(ISNUMBER(Datos!Q18),Datos!Q18," - ")</f>
        <v>2</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33</v>
      </c>
      <c r="C20" s="1000">
        <f>SUBTOTAL(9,C16:C19)</f>
        <v>21</v>
      </c>
      <c r="D20" s="998">
        <f>SUBTOTAL(9,D16:D19)</f>
        <v>312</v>
      </c>
    </row>
    <row r="21" spans="1:4" ht="16.5" customHeight="1" thickTop="1" thickBot="1">
      <c r="A21" s="940" t="str">
        <f>Datos!A21</f>
        <v>TOTAL JURISDICCIONES</v>
      </c>
      <c r="B21" s="945">
        <f>SUBTOTAL(9,B8:B20)</f>
        <v>252</v>
      </c>
      <c r="C21" s="946">
        <f>SUBTOTAL(9,C8:C20)</f>
        <v>139</v>
      </c>
      <c r="D21" s="947">
        <f>SUBTOTAL(9,D8:D20)</f>
        <v>8550</v>
      </c>
    </row>
    <row r="22" spans="1:4" ht="7.5" customHeight="1"/>
    <row r="23" spans="1:4" ht="6" customHeight="1"/>
    <row r="24" spans="1:4">
      <c r="A24" s="403" t="str">
        <f>Criterios!A4</f>
        <v>Fecha Informe: 06 jun. 2023</v>
      </c>
    </row>
    <row r="29" spans="1:4">
      <c r="A29" s="426"/>
    </row>
  </sheetData>
  <sheetProtection algorithmName="SHA-512" hashValue="QOVbS+H6sua4vZmOPqvRrkKjFRGx4W//1QVuf/+mrH0qF4t0QbJSi7W0c6exSpqDagPeoqvzuGsDrcqOpGtf7w==" saltValue="eiTetjovA1fZh3SzGBtP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TOLEDO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0.23244265783873255</v>
      </c>
      <c r="C9" s="473">
        <f>IF(ISNUMBER(
   IF(J_V="SI",(Datos!J9-Datos!T9)/Datos!T9,(Datos!J9+Datos!Z9-(Datos!T9+Datos!AH9))/(Datos!T9+Datos!AH9))
     ),IF(J_V="SI",(Datos!J9-Datos!T9)/Datos!T9,(Datos!J9+Datos!Z9-(Datos!T9+Datos!AH9))/(Datos!T9+Datos!AH9))," - ")</f>
        <v>9.8094565984474247E-2</v>
      </c>
      <c r="D9" s="473">
        <f>IF(ISNUMBER(
   IF(J_V="SI",(Datos!K9-Datos!U9)/Datos!U9,(Datos!K9+Datos!AA9-(Datos!U9+Datos!AI9))/(Datos!U9+Datos!AI9))
     ),IF(J_V="SI",(Datos!K9-Datos!U9)/Datos!U9,(Datos!K9+Datos!AA9-(Datos!U9+Datos!AI9))/(Datos!U9+Datos!AI9))," - ")</f>
        <v>-0.20547112462006079</v>
      </c>
      <c r="E9" s="473">
        <f>IF(ISNUMBER(
   IF(J_V="SI",(Datos!L9-Datos!V9)/Datos!V9,(Datos!L9+Datos!AB9-(Datos!V9+Datos!AJ9))/(Datos!V9+Datos!AJ9))
     ),IF(J_V="SI",(Datos!L9-Datos!V9)/Datos!V9,(Datos!L9+Datos!AB9-(Datos!V9+Datos!AJ9))/(Datos!V9+Datos!AJ9))," - ")</f>
        <v>0.33966508372906773</v>
      </c>
      <c r="F9" s="473">
        <f>IF(ISNUMBER((Datos!M9-Datos!W9)/Datos!W9),(Datos!M9-Datos!W9)/Datos!W9," - ")</f>
        <v>-0.43981481481481483</v>
      </c>
      <c r="G9" s="474">
        <f>IF(ISNUMBER((Datos!N9-Datos!X9)/Datos!X9),(Datos!N9-Datos!X9)/Datos!X9," - ")</f>
        <v>-0.30141843971631205</v>
      </c>
      <c r="H9" s="472">
        <f>IF(ISNUMBER(((NºAsuntos!G9/NºAsuntos!E9)-Datos!BD9)/Datos!BD9),((NºAsuntos!G9/NºAsuntos!E9)-Datos!BD9)/Datos!BD9," - ")</f>
        <v>-0.27644767582688057</v>
      </c>
      <c r="I9" s="473">
        <f>IF(ISNUMBER(((NºAsuntos!I9/NºAsuntos!G9)-Datos!BE9)/Datos!BE9),((NºAsuntos!I9/NºAsuntos!G9)-Datos!BE9)/Datos!BE9," - ")</f>
        <v>0.68611251930705164</v>
      </c>
      <c r="J9" s="478">
        <f>IF(ISNUMBER((('Resol  Asuntos'!D9/NºAsuntos!G9)-Datos!BF9)/Datos!BF9),(('Resol  Asuntos'!D9/NºAsuntos!G9)-Datos!BF9)/Datos!BF9," - ")</f>
        <v>-0.18993879112471304</v>
      </c>
      <c r="K9" s="479">
        <f>IF(ISNUMBER((((NºAsuntos!C9+NºAsuntos!E9)/NºAsuntos!G9)-Datos!BG9)/Datos!BG9),(((NºAsuntos!C9+NºAsuntos!E9)/NºAsuntos!G9)-Datos!BG9)/Datos!BG9," - ")</f>
        <v>0.50872397220232435</v>
      </c>
    </row>
    <row r="10" spans="1:11">
      <c r="A10" s="414" t="str">
        <f>Datos!A10</f>
        <v>Jdos. Violencia contra la mujer</v>
      </c>
      <c r="B10" s="472">
        <f>IF(ISNUMBER((Datos!I10-Datos!S10)/Datos!S10),(Datos!I10-Datos!S10)/Datos!S10," - ")</f>
        <v>5.6818181818181816E-2</v>
      </c>
      <c r="C10" s="473">
        <f>IF(ISNUMBER((Datos!J10-Datos!T10)/Datos!T10),(Datos!J10-Datos!T10)/Datos!T10," - ")</f>
        <v>-0.6875</v>
      </c>
      <c r="D10" s="473">
        <f>IF(ISNUMBER((Datos!K10-Datos!U10)/Datos!U10),(Datos!K10-Datos!U10)/Datos!U10," - ")</f>
        <v>-0.5</v>
      </c>
      <c r="E10" s="473">
        <f>IF(ISNUMBER((Datos!L10-Datos!V10)/Datos!V10),(Datos!L10-Datos!V10)/Datos!V10," - ")</f>
        <v>0</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0.6</v>
      </c>
      <c r="I10" s="473">
        <f>IF(ISNUMBER(((NºAsuntos!I10/NºAsuntos!G10)-Datos!BE10)/Datos!BE10),((NºAsuntos!I10/NºAsuntos!G10)-Datos!BE10)/Datos!BE10," - ")</f>
        <v>1</v>
      </c>
      <c r="J10" s="478">
        <f>IF(ISNUMBER((('Resol  Asuntos'!D10/NºAsuntos!G10)-Datos!BF10)/Datos!BF10),(('Resol  Asuntos'!D10/NºAsuntos!G10)-Datos!BF10)/Datos!BF10," - ")</f>
        <v>-1</v>
      </c>
      <c r="K10" s="479">
        <f>IF(ISNUMBER((((NºAsuntos!C10+NºAsuntos!E10)/NºAsuntos!G10)-Datos!BG10)/Datos!BG10),(((NºAsuntos!C10+NºAsuntos!E10)/NºAsuntos!G10)-Datos!BG10)/Datos!BG10," - ")</f>
        <v>0.88461538461538458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-0.4117221418234443</v>
      </c>
      <c r="C12" s="473">
        <f>IF(ISNUMBER(
   IF(J_V="SI",(Datos!J12-Datos!T12)/Datos!T12,(Datos!J12+Datos!Z12-(Datos!T12+Datos!AH12))/(Datos!T12+Datos!AH12))
     ),IF(J_V="SI",(Datos!J12-Datos!T12)/Datos!T12,(Datos!J12+Datos!Z12-(Datos!T12+Datos!AH12))/(Datos!T12+Datos!AH12))," - ")</f>
        <v>-0.58399999999999996</v>
      </c>
      <c r="D12" s="473">
        <f>IF(ISNUMBER(
   IF(J_V="SI",(Datos!K12-Datos!U12)/Datos!U12,(Datos!K12+Datos!AA12-(Datos!U12+Datos!AI12))/(Datos!U12+Datos!AI12))
     ),IF(J_V="SI",(Datos!K12-Datos!U12)/Datos!U12,(Datos!K12+Datos!AA12-(Datos!U12+Datos!AI12))/(Datos!U12+Datos!AI12))," - ")</f>
        <v>-0.5</v>
      </c>
      <c r="E12" s="473">
        <f>IF(ISNUMBER(
   IF(J_V="SI",(Datos!L12-Datos!V12)/Datos!V12,(Datos!L12+Datos!AB12-(Datos!V12+Datos!AJ12))/(Datos!V12+Datos!AJ12))
     ),IF(J_V="SI",(Datos!L12-Datos!V12)/Datos!V12,(Datos!L12+Datos!AB12-(Datos!V12+Datos!AJ12))/(Datos!V12+Datos!AJ12))," - ")</f>
        <v>-0.40017286084701814</v>
      </c>
      <c r="F12" s="473">
        <f>IF(ISNUMBER((Datos!M12-Datos!W12)/Datos!W12),(Datos!M12-Datos!W12)/Datos!W12," - ")</f>
        <v>-0.47435897435897434</v>
      </c>
      <c r="G12" s="474">
        <f>IF(ISNUMBER((Datos!N12-Datos!X12)/Datos!X12),(Datos!N12-Datos!X12)/Datos!X12," - ")</f>
        <v>-0.73983739837398377</v>
      </c>
      <c r="H12" s="472">
        <f>IF(ISNUMBER(((NºAsuntos!G12/NºAsuntos!E12)-Datos!BD12)/Datos!BD12),((NºAsuntos!G12/NºAsuntos!E12)-Datos!BD12)/Datos!BD12," - ")</f>
        <v>0.20192307692307679</v>
      </c>
      <c r="I12" s="473">
        <f>IF(ISNUMBER(((NºAsuntos!I12/NºAsuntos!G12)-Datos!BE12)/Datos!BE12),((NºAsuntos!I12/NºAsuntos!G12)-Datos!BE12)/Datos!BE12," - ")</f>
        <v>0.19965427830596374</v>
      </c>
      <c r="J12" s="478">
        <f>IF(ISNUMBER((('Resol  Asuntos'!D12/NºAsuntos!G12)-Datos!BF12)/Datos!BF12),(('Resol  Asuntos'!D12/NºAsuntos!G12)-Datos!BF12)/Datos!BF12," - ")</f>
        <v>-0.33333333333333337</v>
      </c>
      <c r="K12" s="479">
        <f>IF(ISNUMBER((((NºAsuntos!C12+NºAsuntos!E12)/NºAsuntos!G12)-Datos!BG12)/Datos!BG12),(((NºAsuntos!C12+NºAsuntos!E12)/NºAsuntos!G12)-Datos!BG12)/Datos!BG12," - ")</f>
        <v>0.14797611147976109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7.3521670468503247E-2</v>
      </c>
      <c r="C14" s="1002">
        <f>IF(ISNUMBER(
   IF(J_V="SI",(Datos!J14-Datos!T14)/Datos!T14,(Datos!J14+Datos!Z14-(Datos!T14+Datos!AH14))/(Datos!T14+Datos!AH14))
     ),IF(J_V="SI",(Datos!J14-Datos!T14)/Datos!T14,(Datos!J14+Datos!Z14-(Datos!T14+Datos!AH14))/(Datos!T14+Datos!AH14))," - ")</f>
        <v>3.5301668806161743E-2</v>
      </c>
      <c r="D14" s="1002">
        <f>IF(ISNUMBER(
   IF(J_V="SI",(Datos!K14-Datos!U14)/Datos!U14,(Datos!K14+Datos!AA14-(Datos!U14+Datos!AI14))/(Datos!U14+Datos!AI14))
     ),IF(J_V="SI",(Datos!K14-Datos!U14)/Datos!U14,(Datos!K14+Datos!AA14-(Datos!U14+Datos!AI14))/(Datos!U14+Datos!AI14))," - ")</f>
        <v>-0.25762881440720359</v>
      </c>
      <c r="E14" s="1002">
        <f>IF(ISNUMBER(
   IF(J_V="SI",(Datos!L14-Datos!V14)/Datos!V14,(Datos!L14+Datos!AB14-(Datos!V14+Datos!AJ14))/(Datos!V14+Datos!AJ14))
     ),IF(J_V="SI",(Datos!L14-Datos!V14)/Datos!V14,(Datos!L14+Datos!AB14-(Datos!V14+Datos!AJ14))/(Datos!V14+Datos!AJ14))," - ")</f>
        <v>0.17066666666666666</v>
      </c>
      <c r="F14" s="1003">
        <f>IF(ISNUMBER((Datos!M14-Datos!W14)/Datos!W14),(Datos!M14-Datos!W14)/Datos!W14," - ")</f>
        <v>-0.44733242134062928</v>
      </c>
      <c r="G14" s="1004">
        <f>IF(ISNUMBER((Datos!N14-Datos!X14)/Datos!X14),(Datos!N14-Datos!X14)/Datos!X14," - ")</f>
        <v>-0.38260869565217392</v>
      </c>
      <c r="H14" s="1004">
        <f>IF(ISNUMBER(((NºAsuntos!G14/NºAsuntos!E14)-Datos!BD14)/Datos!BD14),((NºAsuntos!G14/NºAsuntos!E14)-Datos!BD14)/Datos!BD14," - ")</f>
        <v>-0.28294215303560022</v>
      </c>
      <c r="I14" s="1004">
        <f>IF(ISNUMBER(((NºAsuntos!I14/NºAsuntos!G14)-Datos!BE14)/Datos!BE14),((NºAsuntos!I14/NºAsuntos!G14)-Datos!BE14)/Datos!BE14," - ")</f>
        <v>0.57692902066486984</v>
      </c>
      <c r="J14" s="1004">
        <f>IF(ISNUMBER((('Resol  Asuntos'!D14/NºAsuntos!G14)-Datos!BF14)/Datos!BF14),(('Resol  Asuntos'!D14/NºAsuntos!G14)-Datos!BF14)/Datos!BF14," - ")</f>
        <v>-0.21358069893897125</v>
      </c>
      <c r="K14" s="1004">
        <f>IF(ISNUMBER((((NºAsuntos!C14+NºAsuntos!E14)/NºAsuntos!G14)-Datos!BG14)/Datos!BG14),(((NºAsuntos!C14+NºAsuntos!E14)/NºAsuntos!G14)-Datos!BG14)/Datos!BG14," - ")</f>
        <v>0.43501831301834426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1.8836045056320401</v>
      </c>
      <c r="C16" s="473">
        <f>IF(ISNUMBER(
   IF(D_I="SI",(Datos!J16-Datos!T16)/Datos!T16,(Datos!J16+Datos!AD16-(Datos!T16+Datos!AL16))/(Datos!T16+Datos!AL16))
     ),IF(D_I="SI",(Datos!J16-Datos!T16)/Datos!T16,(Datos!J16+Datos!AD16-(Datos!T16+Datos!AL16))/(Datos!T16+Datos!AL16))," - ")</f>
        <v>0.16925592804578904</v>
      </c>
      <c r="D16" s="473">
        <f>IF(ISNUMBER(
   IF(D_I="SI",(Datos!K16-Datos!U16)/Datos!U16,(Datos!K16+Datos!AE16-(Datos!U16+Datos!AM16))/(Datos!U16+Datos!AM16))
     ),IF(D_I="SI",(Datos!K16-Datos!U16)/Datos!U16,(Datos!K16+Datos!AE16-(Datos!U16+Datos!AM16))/(Datos!U16+Datos!AM16))," - ")</f>
        <v>0.6393939393939394</v>
      </c>
      <c r="E16" s="473">
        <f>IF(ISNUMBER(
   IF(D_I="SI",(Datos!L16-Datos!V16)/Datos!V16,(Datos!L16+Datos!AF16-(Datos!V16+Datos!AN16))/(Datos!V16+Datos!AN16))
     ),IF(D_I="SI",(Datos!L16-Datos!V16)/Datos!V16,(Datos!L16+Datos!AF16-(Datos!V16+Datos!AN16))/(Datos!V16+Datos!AN16))," - ")</f>
        <v>0.94713656387665202</v>
      </c>
      <c r="F16" s="473">
        <f>IF(ISNUMBER((Datos!M16-Datos!W16)/Datos!W16),(Datos!M16-Datos!W16)/Datos!W16," - ")</f>
        <v>0.13223140495867769</v>
      </c>
      <c r="G16" s="474">
        <f>IF(ISNUMBER((Datos!N16-Datos!X16)/Datos!X16),(Datos!N16-Datos!X16)/Datos!X16," - ")</f>
        <v>0.55965909090909094</v>
      </c>
      <c r="H16" s="472">
        <f>IF(ISNUMBER(((NºAsuntos!G16/NºAsuntos!E16)-Datos!BD16)/Datos!BD16),((NºAsuntos!G16/NºAsuntos!E16)-Datos!BD16)/Datos!BD16," - ")</f>
        <v>0.40208306844670483</v>
      </c>
      <c r="I16" s="473">
        <f>IF(ISNUMBER(((NºAsuntos!I16/NºAsuntos!G16)-Datos!BE16)/Datos!BE16),((NºAsuntos!I16/NºAsuntos!G16)-Datos!BE16)/Datos!BE16," - ")</f>
        <v>0.18771731253104471</v>
      </c>
      <c r="J16" s="478">
        <f>IF(ISNUMBER((('Resol  Asuntos'!D16/NºAsuntos!G16)-Datos!BF16)/Datos!BF16),(('Resol  Asuntos'!D16/NºAsuntos!G16)-Datos!BF16)/Datos!BF16," - ")</f>
        <v>-0.30935977146698035</v>
      </c>
      <c r="K16" s="479">
        <f>IF(ISNUMBER((((NºAsuntos!C16+NºAsuntos!E16)/NºAsuntos!G16)-Datos!BG16)/Datos!BG16),(((NºAsuntos!C16+NºAsuntos!E16)/NºAsuntos!G16)-Datos!BG16)/Datos!BG16," - ")</f>
        <v>0.12644459924197965</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-0.43006993006993005</v>
      </c>
      <c r="C17" s="473">
        <f>IF(ISNUMBER(
   IF(D_I="SI",(Datos!J17-Datos!T17)/Datos!T17,(Datos!J17+Datos!AD17-(Datos!T17+Datos!AL17))/(Datos!T17+Datos!AL17))
     ),IF(D_I="SI",(Datos!J17-Datos!T17)/Datos!T17,(Datos!J17+Datos!AD17-(Datos!T17+Datos!AL17))/(Datos!T17+Datos!AL17))," - ")</f>
        <v>-0.65714285714285714</v>
      </c>
      <c r="D17" s="473">
        <f>IF(ISNUMBER(
   IF(D_I="SI",(Datos!K17-Datos!U17)/Datos!U17,(Datos!K17+Datos!AE17-(Datos!U17+Datos!AM17))/(Datos!U17+Datos!AM17))
     ),IF(D_I="SI",(Datos!K17-Datos!U17)/Datos!U17,(Datos!K17+Datos!AE17-(Datos!U17+Datos!AM17))/(Datos!U17+Datos!AM17))," - ")</f>
        <v>-0.13600000000000001</v>
      </c>
      <c r="E17" s="473">
        <f>IF(ISNUMBER(
   IF(D_I="SI",(Datos!L17-Datos!V17)/Datos!V17,(Datos!L17+Datos!AF17-(Datos!V17+Datos!AN17))/(Datos!V17+Datos!AN17))
     ),IF(D_I="SI",(Datos!L17-Datos!V17)/Datos!V17,(Datos!L17+Datos!AF17-(Datos!V17+Datos!AN17))/(Datos!V17+Datos!AN17))," - ")</f>
        <v>-0.58181818181818179</v>
      </c>
      <c r="F17" s="473">
        <f>IF(ISNUMBER((Datos!M17-Datos!W17)/Datos!W17),(Datos!M17-Datos!W17)/Datos!W17," - ")</f>
        <v>-0.58695652173913049</v>
      </c>
      <c r="G17" s="474">
        <f>IF(ISNUMBER((Datos!N17-Datos!X17)/Datos!X17),(Datos!N17-Datos!X17)/Datos!X17," - ")</f>
        <v>0.53333333333333333</v>
      </c>
      <c r="H17" s="472">
        <f>IF(ISNUMBER(((NºAsuntos!G17/NºAsuntos!E17)-Datos!BD17)/Datos!BD17),((NºAsuntos!G17/NºAsuntos!E17)-Datos!BD17)/Datos!BD17," - ")</f>
        <v>1.52</v>
      </c>
      <c r="I17" s="473">
        <f>IF(ISNUMBER(((NºAsuntos!I17/NºAsuntos!G17)-Datos!BE17)/Datos!BE17),((NºAsuntos!I17/NºAsuntos!G17)-Datos!BE17)/Datos!BE17," - ")</f>
        <v>-0.515993265993266</v>
      </c>
      <c r="J17" s="478">
        <f>IF(ISNUMBER((('Resol  Asuntos'!D17/NºAsuntos!G17)-Datos!BF17)/Datos!BF17),(('Resol  Asuntos'!D17/NºAsuntos!G17)-Datos!BF17)/Datos!BF17," - ")</f>
        <v>-0.5219404186795491</v>
      </c>
      <c r="K17" s="479">
        <f>IF(ISNUMBER((((NºAsuntos!C17+NºAsuntos!E17)/NºAsuntos!G17)-Datos!BG17)/Datos!BG17),(((NºAsuntos!C17+NºAsuntos!E17)/NºAsuntos!G17)-Datos!BG17)/Datos!BG17," - ")</f>
        <v>-0.3624529253032055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1.0208333333333333</v>
      </c>
      <c r="C18" s="473">
        <f>IF(ISNUMBER(
   IF(D_I="SI",(Datos!J18-Datos!T18)/Datos!T18,(Datos!J18+Datos!AD18-(Datos!T18+Datos!AL18))/(Datos!T18+Datos!AL18))
     ),IF(D_I="SI",(Datos!J18-Datos!T18)/Datos!T18,(Datos!J18+Datos!AD18-(Datos!T18+Datos!AL18))/(Datos!T18+Datos!AL18))," - ")</f>
        <v>-0.40540540540540543</v>
      </c>
      <c r="D18" s="473">
        <f>IF(ISNUMBER(
   IF(D_I="SI",(Datos!K18-Datos!U18)/Datos!U18,(Datos!K18+Datos!AE18-(Datos!U18+Datos!AM18))/(Datos!U18+Datos!AM18))
     ),IF(D_I="SI",(Datos!K18-Datos!U18)/Datos!U18,(Datos!K18+Datos!AE18-(Datos!U18+Datos!AM18))/(Datos!U18+Datos!AM18))," - ")</f>
        <v>-0.29906542056074764</v>
      </c>
      <c r="E18" s="473">
        <f>IF(ISNUMBER(
   IF(D_I="SI",(Datos!L18-Datos!V18)/Datos!V18,(Datos!L18+Datos!AF18-(Datos!V18+Datos!AN18))/(Datos!V18+Datos!AN18))
     ),IF(D_I="SI",(Datos!L18-Datos!V18)/Datos!V18,(Datos!L18+Datos!AF18-(Datos!V18+Datos!AN18))/(Datos!V18+Datos!AN18))," - ")</f>
        <v>0.69230769230769229</v>
      </c>
      <c r="F18" s="473">
        <f>IF(ISNUMBER((Datos!M18-Datos!W18)/Datos!W18),(Datos!M18-Datos!W18)/Datos!W18," - ")</f>
        <v>-0.19047619047619047</v>
      </c>
      <c r="G18" s="474">
        <f>IF(ISNUMBER((Datos!N18-Datos!X18)/Datos!X18),(Datos!N18-Datos!X18)/Datos!X18," - ")</f>
        <v>0.52</v>
      </c>
      <c r="H18" s="472">
        <f>IF(ISNUMBER(((NºAsuntos!G18/NºAsuntos!E18)-Datos!BD18)/Datos!BD18),((NºAsuntos!G18/NºAsuntos!E18)-Datos!BD18)/Datos!BD18," - ")</f>
        <v>0.17884451996601536</v>
      </c>
      <c r="I18" s="473">
        <f>IF(ISNUMBER(((NºAsuntos!I18/NºAsuntos!G18)-Datos!BE18)/Datos!BE18),((NºAsuntos!I18/NºAsuntos!G18)-Datos!BE18)/Datos!BE18," - ")</f>
        <v>1.4143589743589742</v>
      </c>
      <c r="J18" s="478">
        <f>IF(ISNUMBER((('Resol  Asuntos'!D18/NºAsuntos!G18)-Datos!BF18)/Datos!BF18),(('Resol  Asuntos'!D18/NºAsuntos!G18)-Datos!BF18)/Datos!BF18," - ")</f>
        <v>0.1549206349206349</v>
      </c>
      <c r="K18" s="479">
        <f>IF(ISNUMBER((((NºAsuntos!C18+NºAsuntos!E18)/NºAsuntos!G18)-Datos!BG18)/Datos!BG18),(((NºAsuntos!C18+NºAsuntos!E18)/NºAsuntos!G18)-Datos!BG18)/Datos!BG18," - ")</f>
        <v>0.46255765199161419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0.5334003013561025</v>
      </c>
      <c r="C20" s="1002">
        <f>IF(ISNUMBER(
   IF(Criterios!B14="SI",(Datos!J20-Datos!T20)/Datos!T20,(Datos!J20+Datos!AD20-(Datos!T20+Datos!AL20))/(Datos!T20+Datos!AL20))
     ),IF(Criterios!B14="SI",(Datos!J20-Datos!T20)/Datos!T20,(Datos!J20+Datos!AD20-(Datos!T20+Datos!AL20))/(Datos!T20+Datos!AL20))," - ")</f>
        <v>6.4628214037526055E-2</v>
      </c>
      <c r="D20" s="1002">
        <f>IF(ISNUMBER(
   IF(Criterios!B14="SI",(Datos!K20-Datos!U20)/Datos!U20,(Datos!K20+Datos!AE20-(Datos!U20+Datos!AM20))/(Datos!U20+Datos!AM20))
     ),IF(Criterios!B14="SI",(Datos!K20-Datos!U20)/Datos!U20,(Datos!K20+Datos!AE20-(Datos!U20+Datos!AM20))/(Datos!U20+Datos!AM20))," - ")</f>
        <v>0.29684763572679512</v>
      </c>
      <c r="E20" s="1002">
        <f>IF(ISNUMBER(
   IF(Criterios!B14="SI",(Datos!L20-Datos!V20)/Datos!V20,(Datos!L20+Datos!AF20-(Datos!V20+Datos!AN20))/(Datos!V20+Datos!AN20))
     ),IF(Criterios!B14="SI",(Datos!L20-Datos!V20)/Datos!V20,(Datos!L20+Datos!AF20-(Datos!V20+Datos!AN20))/(Datos!V20+Datos!AN20))," - ")</f>
        <v>0.35483870967741937</v>
      </c>
      <c r="F20" s="1003">
        <f>IF(ISNUMBER((Datos!M20-Datos!W20)/Datos!W20),(Datos!M20-Datos!W20)/Datos!W20," - ")</f>
        <v>-7.9787234042553196E-2</v>
      </c>
      <c r="G20" s="1004">
        <f>IF(ISNUMBER((Datos!N20-Datos!X20)/Datos!X20),(Datos!N20-Datos!X20)/Datos!X20," - ")</f>
        <v>0.54850088183421519</v>
      </c>
      <c r="H20" s="1004">
        <f>IF(ISNUMBER(((NºAsuntos!G20/NºAsuntos!E20)-Datos!BD20)/Datos!BD20),((NºAsuntos!G20/NºAsuntos!E20)-Datos!BD20)/Datos!BD20," - ")</f>
        <v>0.21812255079037732</v>
      </c>
      <c r="I20" s="1004">
        <f>IF(ISNUMBER(((NºAsuntos!I20/NºAsuntos!G20)-Datos!BE20)/Datos!BE20),((NºAsuntos!I20/NºAsuntos!G20)-Datos!BE20)/Datos!BE20," - ")</f>
        <v>4.4716952364357014E-2</v>
      </c>
      <c r="J20" s="1004">
        <f>IF(ISNUMBER((('Resol  Asuntos'!D20/NºAsuntos!G20)-Datos!BF20)/Datos!BF20),(('Resol  Asuntos'!D20/NºAsuntos!G20)-Datos!BF20)/Datos!BF20," - ")</f>
        <v>-0.29042337695921383</v>
      </c>
      <c r="K20" s="1004">
        <f>IF(ISNUMBER((((NºAsuntos!C20+NºAsuntos!E20)/NºAsuntos!G20)-Datos!BG20)/Datos!BG20),(((NºAsuntos!C20+NºAsuntos!E20)/NºAsuntos!G20)-Datos!BG20)/Datos!BG20," - ")</f>
        <v>3.075693477931344E-2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0.19258777633289986</v>
      </c>
      <c r="C21" s="949">
        <f>IF(ISNUMBER(
   IF(J_V="SI",(Datos!J21-Datos!T21)/Datos!T21,(Datos!J21+Datos!Z21-(Datos!T21+Datos!AH21))/(Datos!T21+Datos!AH21))
     ),IF(J_V="SI",(Datos!J21-Datos!T21)/Datos!T21,(Datos!J21+Datos!Z21-(Datos!T21+Datos!AH21))/(Datos!T21+Datos!AH21))," - ")</f>
        <v>4.9382716049382713E-2</v>
      </c>
      <c r="D21" s="949">
        <f>IF(ISNUMBER(
   IF(J_V="SI",(Datos!K21-Datos!U21)/Datos!U21,(Datos!K21+Datos!AA21-(Datos!U21+Datos!AI21))/(Datos!U21+Datos!AI21))
     ),IF(J_V="SI",(Datos!K21-Datos!U21)/Datos!U21,(Datos!K21+Datos!AA21-(Datos!U21+Datos!AI21))/(Datos!U21+Datos!AI21))," - ")</f>
        <v>-5.603311047437122E-2</v>
      </c>
      <c r="E21" s="949">
        <f>IF(ISNUMBER(
   IF(J_V="SI",(Datos!L21-Datos!V21)/Datos!V21,(Datos!L21+Datos!AB21-(Datos!V21+Datos!AJ21))/(Datos!V21+Datos!AJ21))
     ),IF(J_V="SI",(Datos!L21-Datos!V21)/Datos!V21,(Datos!L21+Datos!AB21-(Datos!V21+Datos!AJ21))/(Datos!V21+Datos!AJ21))," - ")</f>
        <v>0.22667020148462355</v>
      </c>
      <c r="F21" s="950">
        <f>IF(ISNUMBER((Datos!M21-Datos!W21)/Datos!W21),(Datos!M21-Datos!W21)/Datos!W21," - ")</f>
        <v>-0.37214363438520132</v>
      </c>
      <c r="G21" s="951">
        <f>IF(ISNUMBER((Datos!N21-Datos!X21)/Datos!X21),(Datos!N21-Datos!X21)/Datos!X21," - ")</f>
        <v>3.7390612569610182E-2</v>
      </c>
      <c r="H21" s="952">
        <f>IF(ISNUMBER((Tasas!B21-Datos!BD21)/Datos!BD21),(Tasas!B21-Datos!BD21)/Datos!BD21," - ")</f>
        <v>-0.10045508174616555</v>
      </c>
      <c r="I21" s="953">
        <f>IF(ISNUMBER((Tasas!C21-Datos!BE21)/Datos!BE21),(Tasas!C21-Datos!BE21)/Datos!BE21," - ")</f>
        <v>0.29948435172452026</v>
      </c>
      <c r="J21" s="954">
        <f>IF(ISNUMBER((Tasas!D21-Datos!BF21)/Datos!BF21),(Tasas!D21-Datos!BF21)/Datos!BF21," - ")</f>
        <v>-0.30539743982829981</v>
      </c>
      <c r="K21" s="954">
        <f>IF(ISNUMBER((Tasas!E21-Datos!BG21)/Datos!BG21),(Tasas!E21-Datos!BG21)/Datos!BG21," - ")</f>
        <v>0.22083538793803312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5Jzroz00CADdiG4f9gTfxwvqc7rgdlNm61gvvfBY58LxCdlfUnC+QnwETNyqRIBj3biFdZs0ICJpufkSj6CzTA==" saltValue="BjuwBdcUNFexGEnT/jHOJ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TOLEDO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0.83997429305912596</v>
      </c>
      <c r="C9" s="460">
        <f>IF(ISNUMBER(NºAsuntos!I9/NºAsuntos!G9),NºAsuntos!I9/NºAsuntos!G9," - ")</f>
        <v>4.1009946442234124</v>
      </c>
      <c r="D9" s="461">
        <f>IF(ISNUMBER('Resol  Asuntos'!D9/NºAsuntos!G9),'Resol  Asuntos'!D9/NºAsuntos!G9," - ")</f>
        <v>0.2777352716143841</v>
      </c>
      <c r="E9" s="462">
        <f>IF(ISNUMBER((NºAsuntos!C9+NºAsuntos!E9)/NºAsuntos!G9),(NºAsuntos!C9+NºAsuntos!E9)/NºAsuntos!G9," - ")</f>
        <v>5.1782708492731446</v>
      </c>
      <c r="G9" s="480"/>
    </row>
    <row r="10" spans="1:7">
      <c r="A10" s="414" t="str">
        <f>Datos!A10</f>
        <v>Jdos. Violencia contra la mujer</v>
      </c>
      <c r="B10" s="459">
        <f>IF(ISNUMBER(NºAsuntos!G10/NºAsuntos!E10),NºAsuntos!G10/NºAsuntos!E10," - ")</f>
        <v>1.2</v>
      </c>
      <c r="C10" s="460">
        <f>IF(ISNUMBER(NºAsuntos!I10/NºAsuntos!G10),NºAsuntos!I10/NºAsuntos!G10," - ")</f>
        <v>15.333333333333334</v>
      </c>
      <c r="D10" s="461">
        <f>IF(ISNUMBER('Resol  Asuntos'!D10/NºAsuntos!G10),'Resol  Asuntos'!D10/NºAsuntos!G10," - ")</f>
        <v>0</v>
      </c>
      <c r="E10" s="462">
        <f>IF(ISNUMBER((NºAsuntos!C10+NºAsuntos!E10)/NºAsuntos!G10),(NºAsuntos!C10+NºAsuntos!E10)/NºAsuntos!G10," - ")</f>
        <v>16.333333333333332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3.2884615384615383</v>
      </c>
      <c r="C12" s="460">
        <f>IF(ISNUMBER(NºAsuntos!I12/NºAsuntos!G12),NºAsuntos!I12/NºAsuntos!G12," - ")</f>
        <v>4.0584795321637426</v>
      </c>
      <c r="D12" s="461">
        <f>IF(ISNUMBER('Resol  Asuntos'!D12/NºAsuntos!G12),'Resol  Asuntos'!D12/NºAsuntos!G12," - ")</f>
        <v>0.23976608187134502</v>
      </c>
      <c r="E12" s="462">
        <f>IF(ISNUMBER((NºAsuntos!C12+NºAsuntos!E12)/NºAsuntos!G12),(NºAsuntos!C12+NºAsuntos!E12)/NºAsuntos!G12," - ")</f>
        <v>5.0584795321637426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0.92002479851208929</v>
      </c>
      <c r="C14" s="1006">
        <f>IF(ISNUMBER(NºAsuntos!I14/NºAsuntos!G14),NºAsuntos!I14/NºAsuntos!G14," - ")</f>
        <v>4.1415094339622645</v>
      </c>
      <c r="D14" s="1007">
        <f>IF(ISNUMBER('Resol  Asuntos'!D14/NºAsuntos!G14),'Resol  Asuntos'!D14/NºAsuntos!G14," - ")</f>
        <v>0.27223719676549868</v>
      </c>
      <c r="E14" s="1008">
        <f>IF(ISNUMBER((NºAsuntos!C14+NºAsuntos!E14)/NºAsuntos!G14),(NºAsuntos!C14+NºAsuntos!E14)/NºAsuntos!G14," - ")</f>
        <v>5.2095687331536391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0.75664335664335669</v>
      </c>
      <c r="C16" s="460">
        <f>IF(ISNUMBER(NºAsuntos!I16/NºAsuntos!G16),NºAsuntos!I16/NºAsuntos!G16," - ")</f>
        <v>2.4510166358595193</v>
      </c>
      <c r="D16" s="461">
        <f>IF(ISNUMBER('Resol  Asuntos'!D16/NºAsuntos!G16),'Resol  Asuntos'!D16/NºAsuntos!G16," - ")</f>
        <v>0.1266173752310536</v>
      </c>
      <c r="E16" s="462">
        <f>IF(ISNUMBER((NºAsuntos!C16+NºAsuntos!E16)/NºAsuntos!G16),(NºAsuntos!C16+NºAsuntos!E16)/NºAsuntos!G16," - ")</f>
        <v>3.4510166358595193</v>
      </c>
      <c r="G16" s="480"/>
    </row>
    <row r="17" spans="1:7">
      <c r="A17" s="414" t="str">
        <f>Datos!A17</f>
        <v xml:space="preserve">Jdos. 1ª Instª. e Instr.                        </v>
      </c>
      <c r="B17" s="459">
        <f>IF(ISNUMBER(NºAsuntos!G17/NºAsuntos!E17),NºAsuntos!G17/NºAsuntos!E17," - ")</f>
        <v>9</v>
      </c>
      <c r="C17" s="460">
        <f>IF(ISNUMBER(NºAsuntos!I17/NºAsuntos!G17),NºAsuntos!I17/NºAsuntos!G17," - ")</f>
        <v>1.1358024691358024</v>
      </c>
      <c r="D17" s="461">
        <f>IF(ISNUMBER('Resol  Asuntos'!D17/NºAsuntos!G17),'Resol  Asuntos'!D17/NºAsuntos!G17," - ")</f>
        <v>5.8641975308641972E-2</v>
      </c>
      <c r="E17" s="462">
        <f>IF(ISNUMBER((NºAsuntos!C17+NºAsuntos!E17)/NºAsuntos!G17),(NºAsuntos!C17+NºAsuntos!E17)/NºAsuntos!G17," - ")</f>
        <v>2.1234567901234569</v>
      </c>
      <c r="G17" s="480"/>
    </row>
    <row r="18" spans="1:7">
      <c r="A18" s="414" t="str">
        <f>Datos!A18</f>
        <v>Jdos. Violencia contra la mujer</v>
      </c>
      <c r="B18" s="459">
        <f>IF(ISNUMBER(NºAsuntos!G18/NºAsuntos!E18),NºAsuntos!G18/NºAsuntos!E18," - ")</f>
        <v>1.1363636363636365</v>
      </c>
      <c r="C18" s="460">
        <f>IF(ISNUMBER(NºAsuntos!I18/NºAsuntos!G18),NºAsuntos!I18/NºAsuntos!G18," - ")</f>
        <v>1.1733333333333333</v>
      </c>
      <c r="D18" s="461">
        <f>IF(ISNUMBER('Resol  Asuntos'!D18/NºAsuntos!G18),'Resol  Asuntos'!D18/NºAsuntos!G18," - ")</f>
        <v>0.22666666666666666</v>
      </c>
      <c r="E18" s="462">
        <f>IF(ISNUMBER((NºAsuntos!C18+NºAsuntos!E18)/NºAsuntos!G18),(NºAsuntos!C18+NºAsuntos!E18)/NºAsuntos!G18," - ")</f>
        <v>2.1733333333333333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0.96671018276762399</v>
      </c>
      <c r="C20" s="1006">
        <f>IF(ISNUMBER(NºAsuntos!I20/NºAsuntos!G20),NºAsuntos!I20/NºAsuntos!G20," - ")</f>
        <v>2.0985820391627277</v>
      </c>
      <c r="D20" s="1009">
        <f>IF(ISNUMBER('Resol  Asuntos'!D20/NºAsuntos!G20),'Resol  Asuntos'!D20/NºAsuntos!G20," - ")</f>
        <v>0.11681296421336934</v>
      </c>
      <c r="E20" s="1008">
        <f>IF(ISNUMBER((NºAsuntos!C20+NºAsuntos!E20)/NºAsuntos!G20),(NºAsuntos!C20+NºAsuntos!E20)/NºAsuntos!G20," - ")</f>
        <v>3.0958811613774477</v>
      </c>
      <c r="G20" s="480"/>
    </row>
    <row r="21" spans="1:7" ht="15.75" customHeight="1" thickTop="1" thickBot="1">
      <c r="A21" s="940" t="str">
        <f>Datos!A21</f>
        <v>TOTAL JURISDICCIONES</v>
      </c>
      <c r="B21" s="955">
        <f>IF(ISNUMBER(NºAsuntos!G21/NºAsuntos!E21),NºAsuntos!G21/NºAsuntos!E21," - ")</f>
        <v>0.94276629570747217</v>
      </c>
      <c r="C21" s="956">
        <f>IF(ISNUMBER(NºAsuntos!I21/NºAsuntos!G21),NºAsuntos!I21/NºAsuntos!G21," - ")</f>
        <v>3.1210792580101181</v>
      </c>
      <c r="D21" s="957">
        <f>IF(ISNUMBER('Resol  Asuntos'!D21/NºAsuntos!G21),'Resol  Asuntos'!D21/NºAsuntos!G21," - ")</f>
        <v>0.19460370994940979</v>
      </c>
      <c r="E21" s="958">
        <f>IF(ISNUMBER((NºAsuntos!C21+NºAsuntos!E21)/NºAsuntos!G21),(NºAsuntos!C21+NºAsuntos!E21)/NºAsuntos!G21," - ")</f>
        <v>4.153794266441821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vBIz45PyVHZsrGc5xEvzHxNhI/cusTRqbbyL5zpsT4KBVSN2Pqubaa+D5TmWzhyzBvLSqTzdNw4XeYG6onPPA==" saltValue="4nQyjQS7KmLwax7gJksjC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TOLEDO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218</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85</v>
      </c>
      <c r="Y9" s="344">
        <f>SUM(W9:X9)</f>
        <v>85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6237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363</v>
      </c>
      <c r="AJ9" s="234" t="str">
        <f>IF(ISNUMBER(Datos!BW9),Datos!BW9," - ")</f>
        <v xml:space="preserve"> - </v>
      </c>
      <c r="AK9" s="233" t="str">
        <f>IF(ISNUMBER(Datos!BX9),Datos!BX9," - ")</f>
        <v xml:space="preserve"> - </v>
      </c>
      <c r="AL9" s="248">
        <f>IF(ISNUMBER(NºAsuntos!G9/NºAsuntos!E9),NºAsuntos!G9/NºAsuntos!E9," - ")</f>
        <v>0.83997429305912596</v>
      </c>
      <c r="AM9" s="265">
        <f>IF(ISNUMBER(((NºAsuntos!I9/NºAsuntos!G9)*11)/factor_trimestre),((NºAsuntos!I9/NºAsuntos!G9)*11)/factor_trimestre," - ")</f>
        <v>12.302983932670237</v>
      </c>
      <c r="AN9" s="249">
        <f>IF(ISNUMBER('Resol  Asuntos'!D9/NºAsuntos!G9),'Resol  Asuntos'!D9/NºAsuntos!G9," - ")</f>
        <v>0.2777352716143841</v>
      </c>
      <c r="AO9" s="250">
        <f>IF(ISNUMBER((NºAsuntos!C9+NºAsuntos!E9)/NºAsuntos!G9),(NºAsuntos!C9+NºAsuntos!E9)/NºAsuntos!G9," - ")</f>
        <v>5.1782708492731446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93</v>
      </c>
      <c r="G10" s="343">
        <f>IF(ISNUMBER(Datos!I10),Datos!I10," - ")</f>
        <v>93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2</v>
      </c>
      <c r="Y10" s="344">
        <f t="shared" ref="Y10:Y13" si="0">SUM(W10:X10)</f>
        <v>8</v>
      </c>
      <c r="Z10" s="345" t="str">
        <f>IF(ISNUMBER(Datos!CC10),Datos!CC10," - ")</f>
        <v xml:space="preserve"> - </v>
      </c>
      <c r="AA10" s="342">
        <f>IF(ISNUMBER(Datos!L10),Datos!L10,"-")</f>
        <v>92</v>
      </c>
      <c r="AB10" s="344">
        <f>IF(ISNUMBER(Datos!R10),Datos!R10," - ")</f>
        <v>21</v>
      </c>
      <c r="AC10" s="344">
        <f t="shared" ref="AC10:AC13" si="1">IF(ISNUMBER(AA10+AB10),AA10+AB10," - ")</f>
        <v>113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46.000000000000007</v>
      </c>
      <c r="AN10" s="249">
        <f>IF(ISNUMBER('Resol  Asuntos'!D10/NºAsuntos!G10),'Resol  Asuntos'!D10/NºAsuntos!G10," - ")</f>
        <v>0</v>
      </c>
      <c r="AO10" s="250">
        <f>IF(ISNUMBER((NºAsuntos!C10+NºAsuntos!E10)/NºAsuntos!G10),(NºAsuntos!C10+NºAsuntos!E10)/NºAsuntos!G10," - ")</f>
        <v>16.333333333333332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v>
      </c>
      <c r="Y12" s="344">
        <f t="shared" si="0"/>
        <v>31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1980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41</v>
      </c>
      <c r="AJ12" s="234" t="str">
        <f>IF(ISNUMBER(Datos!BW12),Datos!BW12," - ")</f>
        <v xml:space="preserve"> - </v>
      </c>
      <c r="AK12" s="233" t="str">
        <f>IF(ISNUMBER(Datos!BX12),Datos!BX12," - ")</f>
        <v xml:space="preserve"> - </v>
      </c>
      <c r="AL12" s="248">
        <f>IF(ISNUMBER(NºAsuntos!G12/NºAsuntos!E12),NºAsuntos!G12/NºAsuntos!E12," - ")</f>
        <v>3.2884615384615383</v>
      </c>
      <c r="AM12" s="265">
        <f>IF(ISNUMBER(((NºAsuntos!I12/NºAsuntos!G12)*11)/factor_trimestre),((NºAsuntos!I12/NºAsuntos!G12)*11)/factor_trimestre," - ")</f>
        <v>12.175438596491228</v>
      </c>
      <c r="AN12" s="249">
        <f>IF(ISNUMBER('Resol  Asuntos'!D12/NºAsuntos!G12),'Resol  Asuntos'!D12/NºAsuntos!G12," - ")</f>
        <v>0.23976608187134502</v>
      </c>
      <c r="AO12" s="250">
        <f>IF(ISNUMBER((NºAsuntos!C12+NºAsuntos!E12)/NºAsuntos!G12),(NºAsuntos!C12+NºAsuntos!E12)/NºAsuntos!G12," - ")</f>
        <v>5.0584795321637426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93</v>
      </c>
      <c r="G14" s="1013">
        <f t="shared" si="5"/>
        <v>93</v>
      </c>
      <c r="H14" s="1012">
        <f t="shared" si="5"/>
        <v>0</v>
      </c>
      <c r="I14" s="1014">
        <f t="shared" si="5"/>
        <v>0</v>
      </c>
      <c r="J14" s="1014">
        <f t="shared" si="5"/>
        <v>0</v>
      </c>
      <c r="K14" s="1014">
        <f t="shared" si="5"/>
        <v>0</v>
      </c>
      <c r="L14" s="1014">
        <f t="shared" si="5"/>
        <v>219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118</v>
      </c>
      <c r="Y14" s="1015">
        <f t="shared" si="6"/>
        <v>124</v>
      </c>
      <c r="Z14" s="1015">
        <f t="shared" si="6"/>
        <v>0</v>
      </c>
      <c r="AA14" s="1015">
        <f t="shared" si="6"/>
        <v>92</v>
      </c>
      <c r="AB14" s="1015">
        <f t="shared" si="6"/>
        <v>8238</v>
      </c>
      <c r="AC14" s="1015">
        <f t="shared" si="6"/>
        <v>113</v>
      </c>
      <c r="AD14" s="1015">
        <f t="shared" si="6"/>
        <v>0</v>
      </c>
      <c r="AE14" s="1019">
        <f t="shared" si="6"/>
        <v>0</v>
      </c>
      <c r="AF14" s="1012">
        <f t="shared" si="6"/>
        <v>0</v>
      </c>
      <c r="AG14" s="1020">
        <f t="shared" si="6"/>
        <v>0</v>
      </c>
      <c r="AH14" s="1017">
        <f t="shared" si="6"/>
        <v>0</v>
      </c>
      <c r="AI14" s="1012">
        <f t="shared" si="6"/>
        <v>404</v>
      </c>
      <c r="AJ14" s="1014">
        <f t="shared" si="6"/>
        <v>0</v>
      </c>
      <c r="AK14" s="1017">
        <f>SUBTOTAL(9,AK9:AK13)</f>
        <v>0</v>
      </c>
      <c r="AL14" s="1021">
        <f>IF(ISNUMBER(NºAsuntos!G14/NºAsuntos!E14),NºAsuntos!G14/NºAsuntos!E14," - ")</f>
        <v>0.92002479851208929</v>
      </c>
      <c r="AM14" s="1021">
        <f>IF(ISNUMBER(((NºAsuntos!I14/NºAsuntos!G14)*11)/factor_trimestre),((NºAsuntos!I14/NºAsuntos!G14)*11)/factor_trimestre," - ")</f>
        <v>12.424528301886795</v>
      </c>
      <c r="AN14" s="1022">
        <f>IF(ISNUMBER('Resol  Asuntos'!D14/NºAsuntos!G14),'Resol  Asuntos'!D14/NºAsuntos!G14," - ")</f>
        <v>0.27223719676549868</v>
      </c>
      <c r="AO14" s="1023">
        <f>IF(ISNUMBER((NºAsuntos!C14+NºAsuntos!E14)/NºAsuntos!G14),(NºAsuntos!C14+NºAsuntos!E14)/NºAsuntos!G14," - ")</f>
        <v>5.2095687331536391</v>
      </c>
      <c r="AP14" s="1024" t="str">
        <f t="shared" si="2"/>
        <v xml:space="preserve"> - </v>
      </c>
      <c r="AQ14" s="1024">
        <f>IF(ISNUMBER((H14-W14+K14)/(F14)),(H14-W14+K14)/(F14)," - ")</f>
        <v>-6.4516129032258063E-2</v>
      </c>
      <c r="AR14" s="1025">
        <f>IF(ISNUMBER((Datos!P14-Datos!Q14)/(Datos!R14-Datos!P14+Datos!Q14)),(Datos!P14-Datos!Q14)/(Datos!R14-Datos!P14+Datos!Q14)," - ")</f>
        <v>1.2412437016099299E-2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2304</v>
      </c>
      <c r="G16" s="343">
        <f>IF(ISNUMBER(IF(D_I="SI",Datos!I16,Datos!I16+Datos!AC16)),IF(D_I="SI",Datos!I16,Datos!I16+Datos!AC16)," - ")</f>
        <v>2304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1082</v>
      </c>
      <c r="X16" s="231">
        <f>IF(ISNUMBER(Datos!Q16),Datos!Q16," - ")</f>
        <v>10</v>
      </c>
      <c r="Y16" s="344">
        <f>SUM(W16)</f>
        <v>1082</v>
      </c>
      <c r="Z16" s="345" t="str">
        <f>IF(ISNUMBER(Datos!CC16),Datos!CC16," - ")</f>
        <v xml:space="preserve"> - </v>
      </c>
      <c r="AA16" s="342">
        <f>IF(ISNUMBER(IF(D_I="SI",Datos!L16,Datos!L16+Datos!AF16)),IF(D_I="SI",Datos!L16,Datos!L16+Datos!AF16)," - ")</f>
        <v>2652</v>
      </c>
      <c r="AB16" s="344">
        <f>IF(ISNUMBER(Datos!R16),Datos!R16," - ")</f>
        <v>136</v>
      </c>
      <c r="AC16" s="344">
        <f t="shared" ref="AC16:AC19" si="8">IF(ISNUMBER(AA16+AB16),AA16+AB16," - ")</f>
        <v>2788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137</v>
      </c>
      <c r="AJ16" s="236" t="str">
        <f>IF(ISNUMBER(Datos!BW16),Datos!BW16," - ")</f>
        <v xml:space="preserve"> - </v>
      </c>
      <c r="AK16" s="237" t="str">
        <f>IF(ISNUMBER(Datos!BX16),Datos!BX16," - ")</f>
        <v xml:space="preserve"> - </v>
      </c>
      <c r="AL16" s="248">
        <f>IF(ISNUMBER(NºAsuntos!G16/NºAsuntos!E16),NºAsuntos!G16/NºAsuntos!E16," - ")</f>
        <v>0.75664335664335669</v>
      </c>
      <c r="AM16" s="265">
        <f>IF(ISNUMBER(((NºAsuntos!I16/NºAsuntos!G16)*11)/factor_trimestre),((NºAsuntos!I16/NºAsuntos!G16)*11)/factor_trimestre," - ")</f>
        <v>7.3530499075785585</v>
      </c>
      <c r="AN16" s="249">
        <f>IF(ISNUMBER('Resol  Asuntos'!D16/NºAsuntos!G16),'Resol  Asuntos'!D16/NºAsuntos!G16," - ")</f>
        <v>0.1266173752310536</v>
      </c>
      <c r="AO16" s="250">
        <f>IF(ISNUMBER((NºAsuntos!C16+NºAsuntos!E16)/NºAsuntos!G16),(NºAsuntos!C16+NºAsuntos!E16)/NºAsuntos!G16," - ")</f>
        <v>3.4510166358595193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656</v>
      </c>
      <c r="G17" s="343">
        <f>IF(ISNUMBER(IF(D_I="SI",Datos!I17,Datos!I17+Datos!AC17)),IF(D_I="SI",Datos!I17,Datos!I17+Datos!AC17)," - ")</f>
        <v>652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324</v>
      </c>
      <c r="X17" s="231">
        <f>IF(ISNUMBER(Datos!Q17),Datos!Q17," - ")</f>
        <v>9</v>
      </c>
      <c r="Y17" s="344">
        <f t="shared" ref="Y17:Y19" si="9">SUM(W17:X17)</f>
        <v>333</v>
      </c>
      <c r="Z17" s="345" t="str">
        <f>IF(ISNUMBER(Datos!CC17),Datos!CC17," - ")</f>
        <v xml:space="preserve"> - </v>
      </c>
      <c r="AA17" s="342">
        <f>IF(ISNUMBER(IF(D_I="SI",Datos!L17,Datos!L17+Datos!AF17)),IF(D_I="SI",Datos!L17,Datos!L17+Datos!AF17)," - ")</f>
        <v>368</v>
      </c>
      <c r="AB17" s="344">
        <f>IF(ISNUMBER(Datos!R17),Datos!R17," - ")</f>
        <v>172</v>
      </c>
      <c r="AC17" s="344">
        <f t="shared" si="8"/>
        <v>540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19</v>
      </c>
      <c r="AJ17" s="236" t="str">
        <f>IF(ISNUMBER(Datos!BW17),Datos!BW17," - ")</f>
        <v xml:space="preserve"> - </v>
      </c>
      <c r="AK17" s="237" t="str">
        <f>IF(ISNUMBER(Datos!BX17),Datos!BX17," - ")</f>
        <v xml:space="preserve"> - </v>
      </c>
      <c r="AL17" s="248">
        <f>IF(ISNUMBER(NºAsuntos!G17/NºAsuntos!E17),NºAsuntos!G17/NºAsuntos!E17," - ")</f>
        <v>9</v>
      </c>
      <c r="AM17" s="265">
        <f>IF(ISNUMBER(((NºAsuntos!I17/NºAsuntos!G17)*11)/factor_trimestre),((NºAsuntos!I17/NºAsuntos!G17)*11)/factor_trimestre," - ")</f>
        <v>3.407407407407407</v>
      </c>
      <c r="AN17" s="249">
        <f>IF(ISNUMBER('Resol  Asuntos'!D17/NºAsuntos!G17),'Resol  Asuntos'!D17/NºAsuntos!G17," - ")</f>
        <v>5.8641975308641972E-2</v>
      </c>
      <c r="AO17" s="250">
        <f>IF(ISNUMBER((NºAsuntos!C17+NºAsuntos!E17)/NºAsuntos!G17),(NºAsuntos!C17+NºAsuntos!E17)/NºAsuntos!G17," - ")</f>
        <v>2.1234567901234569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75</v>
      </c>
      <c r="X18" s="231">
        <f>IF(ISNUMBER(Datos!Q18),Datos!Q18," - ")</f>
        <v>2</v>
      </c>
      <c r="Y18" s="344">
        <f t="shared" si="9"/>
        <v>77</v>
      </c>
      <c r="Z18" s="345" t="str">
        <f>IF(ISNUMBER(Datos!CC18),Datos!CC18," - ")</f>
        <v xml:space="preserve"> - </v>
      </c>
      <c r="AA18" s="342">
        <f>IF(ISNUMBER(Datos!L18),Datos!L18,"-")</f>
        <v>88</v>
      </c>
      <c r="AB18" s="344">
        <f>IF(ISNUMBER(Datos!R18),Datos!R18," - ")</f>
        <v>4</v>
      </c>
      <c r="AC18" s="344">
        <f t="shared" si="8"/>
        <v>92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17</v>
      </c>
      <c r="AJ18" s="236" t="str">
        <f>IF(ISNUMBER(Datos!BW18),Datos!BW18," - ")</f>
        <v xml:space="preserve"> - </v>
      </c>
      <c r="AK18" s="237" t="str">
        <f>IF(ISNUMBER(Datos!BX18),Datos!BX18," - ")</f>
        <v xml:space="preserve"> - </v>
      </c>
      <c r="AL18" s="248">
        <f>IF(ISNUMBER(NºAsuntos!G18/NºAsuntos!E18),NºAsuntos!G18/NºAsuntos!E18," - ")</f>
        <v>1.1363636363636365</v>
      </c>
      <c r="AM18" s="265">
        <f>IF(ISNUMBER(((NºAsuntos!I18/NºAsuntos!G18)*11)/factor_trimestre),((NºAsuntos!I18/NºAsuntos!G18)*11)/factor_trimestre," - ")</f>
        <v>3.52</v>
      </c>
      <c r="AN18" s="249">
        <f>IF(ISNUMBER('Resol  Asuntos'!D18/NºAsuntos!G18),'Resol  Asuntos'!D18/NºAsuntos!G18," - ")</f>
        <v>0.22666666666666666</v>
      </c>
      <c r="AO18" s="250">
        <f>IF(ISNUMBER((NºAsuntos!C18+NºAsuntos!E18)/NºAsuntos!G18),(NºAsuntos!C18+NºAsuntos!E18)/NºAsuntos!G18," - ")</f>
        <v>2.1733333333333333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2960</v>
      </c>
      <c r="G20" s="1013">
        <f>SUBTOTAL(9,G16:G19)</f>
        <v>3053</v>
      </c>
      <c r="H20" s="1012">
        <f t="shared" ref="H20:O20" si="12">SUBTOTAL(9,H15:H19)</f>
        <v>0</v>
      </c>
      <c r="I20" s="1014">
        <f t="shared" si="12"/>
        <v>0</v>
      </c>
      <c r="J20" s="1014">
        <f t="shared" si="12"/>
        <v>0</v>
      </c>
      <c r="K20" s="1014">
        <f t="shared" si="12"/>
        <v>0</v>
      </c>
      <c r="L20" s="1014">
        <f t="shared" si="12"/>
        <v>33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1481</v>
      </c>
      <c r="X20" s="1014">
        <f t="shared" si="13"/>
        <v>21</v>
      </c>
      <c r="Y20" s="1015">
        <f t="shared" si="13"/>
        <v>1492</v>
      </c>
      <c r="Z20" s="1015">
        <f t="shared" si="13"/>
        <v>0</v>
      </c>
      <c r="AA20" s="1015">
        <f t="shared" si="13"/>
        <v>3108</v>
      </c>
      <c r="AB20" s="1015">
        <f t="shared" si="13"/>
        <v>312</v>
      </c>
      <c r="AC20" s="1015">
        <f t="shared" si="13"/>
        <v>3420</v>
      </c>
      <c r="AD20" s="1015">
        <f t="shared" si="13"/>
        <v>0</v>
      </c>
      <c r="AE20" s="1019">
        <f t="shared" si="13"/>
        <v>0</v>
      </c>
      <c r="AF20" s="1012">
        <f t="shared" si="13"/>
        <v>0</v>
      </c>
      <c r="AG20" s="1020">
        <f t="shared" si="13"/>
        <v>0</v>
      </c>
      <c r="AH20" s="1017">
        <f t="shared" si="13"/>
        <v>0</v>
      </c>
      <c r="AI20" s="1012">
        <f t="shared" si="13"/>
        <v>173</v>
      </c>
      <c r="AJ20" s="1014">
        <f t="shared" si="13"/>
        <v>0</v>
      </c>
      <c r="AK20" s="1017">
        <f t="shared" si="13"/>
        <v>0</v>
      </c>
      <c r="AL20" s="1021">
        <f>IF(ISNUMBER(NºAsuntos!G20/NºAsuntos!E20),NºAsuntos!G20/NºAsuntos!E20," - ")</f>
        <v>0.96671018276762399</v>
      </c>
      <c r="AM20" s="1021">
        <f>IF(ISNUMBER(((NºAsuntos!I20/NºAsuntos!G20)*11)/factor_trimestre),((NºAsuntos!I20/NºAsuntos!G20)*11)/factor_trimestre," - ")</f>
        <v>6.295746117488183</v>
      </c>
      <c r="AN20" s="1022">
        <f>IF(ISNUMBER('Resol  Asuntos'!D20/NºAsuntos!G20),'Resol  Asuntos'!D20/NºAsuntos!G20," - ")</f>
        <v>0.11681296421336934</v>
      </c>
      <c r="AO20" s="1023">
        <f>IF(ISNUMBER((NºAsuntos!C20+NºAsuntos!E20)/NºAsuntos!G20),(NºAsuntos!C20+NºAsuntos!E20)/NºAsuntos!G20," - ")</f>
        <v>3.0958811613774477</v>
      </c>
      <c r="AP20" s="1024" t="str">
        <f t="shared" si="2"/>
        <v xml:space="preserve"> - </v>
      </c>
      <c r="AQ20" s="1024">
        <f>IF(ISNUMBER((H20-W20+K20)/(F20)),(H20-W20+K20)/(F20)," - ")</f>
        <v>-0.50033783783783781</v>
      </c>
      <c r="AR20" s="1025">
        <f>IF(ISNUMBER((Datos!P20-Datos!Q20)/(Datos!R20-Datos!P20+Datos!Q20)),(Datos!P20-Datos!Q20)/(Datos!R20-Datos!P20+Datos!Q20)," - ")</f>
        <v>0.04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3053</v>
      </c>
      <c r="G21" s="968">
        <f t="shared" si="15"/>
        <v>3146</v>
      </c>
      <c r="H21" s="967">
        <f t="shared" si="15"/>
        <v>0</v>
      </c>
      <c r="I21" s="969">
        <f t="shared" si="15"/>
        <v>0</v>
      </c>
      <c r="J21" s="969">
        <f t="shared" si="15"/>
        <v>0</v>
      </c>
      <c r="K21" s="1028">
        <f t="shared" si="15"/>
        <v>0</v>
      </c>
      <c r="L21" s="969">
        <f t="shared" si="15"/>
        <v>252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1487</v>
      </c>
      <c r="X21" s="968">
        <f t="shared" si="16"/>
        <v>139</v>
      </c>
      <c r="Y21" s="975">
        <f t="shared" si="16"/>
        <v>1616</v>
      </c>
      <c r="Z21" s="975">
        <f t="shared" si="16"/>
        <v>0</v>
      </c>
      <c r="AA21" s="975">
        <f t="shared" si="16"/>
        <v>3200</v>
      </c>
      <c r="AB21" s="975">
        <f t="shared" si="16"/>
        <v>8550</v>
      </c>
      <c r="AC21" s="975">
        <f t="shared" si="16"/>
        <v>3533</v>
      </c>
      <c r="AD21" s="975">
        <f t="shared" si="16"/>
        <v>0</v>
      </c>
      <c r="AE21" s="977">
        <f t="shared" si="16"/>
        <v>0</v>
      </c>
      <c r="AF21" s="978">
        <f t="shared" si="16"/>
        <v>0</v>
      </c>
      <c r="AG21" s="979">
        <f t="shared" si="16"/>
        <v>0</v>
      </c>
      <c r="AH21" s="977">
        <f t="shared" si="16"/>
        <v>0</v>
      </c>
      <c r="AI21" s="967">
        <f t="shared" si="16"/>
        <v>577</v>
      </c>
      <c r="AJ21" s="967">
        <f t="shared" si="16"/>
        <v>0</v>
      </c>
      <c r="AK21" s="977">
        <f t="shared" si="16"/>
        <v>0</v>
      </c>
      <c r="AL21" s="1031">
        <f>IF(ISNUMBER(NºAsuntos!G21/NºAsuntos!E21),NºAsuntos!G21/NºAsuntos!E21," - ")</f>
        <v>0.94276629570747217</v>
      </c>
      <c r="AM21" s="1032">
        <f>IF(ISNUMBER(((NºAsuntos!I21/NºAsuntos!G21)*11)/factor_trimestre),((NºAsuntos!I21/NºAsuntos!G21)*11)/factor_trimestre," - ")</f>
        <v>9.3632377740303543</v>
      </c>
      <c r="AN21" s="1032">
        <f>IF(ISNUMBER('Resol  Asuntos'!D21/NºAsuntos!G21),'Resol  Asuntos'!D21/NºAsuntos!G21," - ")</f>
        <v>0.19460370994940979</v>
      </c>
      <c r="AO21" s="1033">
        <f>IF(ISNUMBER((NºAsuntos!C21+NºAsuntos!E21)/NºAsuntos!G21),(NºAsuntos!C21+NºAsuntos!E21)/NºAsuntos!G21," - ")</f>
        <v>4.153794266441821</v>
      </c>
      <c r="AP21" s="1034" t="str">
        <f t="shared" si="2"/>
        <v xml:space="preserve"> - </v>
      </c>
      <c r="AQ21" s="1035">
        <f>IF(OR(ISNUMBER(FIND("01",Criterios!A8,1)),ISNUMBER(FIND("02",Criterios!A8,1)),ISNUMBER(FIND("03",Criterios!A8,1)),ISNUMBER(FIND("04",Criterios!A8,1))),(I21-W21+K21)/(F21-K21),(H21-W21+K21)/(F21-K21))</f>
        <v>-0.48706190632165086</v>
      </c>
      <c r="AR21" s="1036">
        <f>IF(ISNUMBER((Datos!P21-Datos!Q21)/(Datos!R21-Datos!P21+Datos!Q21)),(Datos!P21-Datos!Q21)/(Datos!R21-Datos!P21+Datos!Q21)," - ")</f>
        <v>1.3393386274742207E-2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1048.6666666666667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2.1148823307047775</v>
      </c>
      <c r="F23" s="257">
        <f>IF(ISNUMBER(STDEV(F8:F20)),STDEV(F8:F20),"-")</f>
        <v>1328.6273743981042</v>
      </c>
      <c r="G23" s="258">
        <f>IF(ISNUMBER(STDEV(G8:G20)),STDEV(G8:G20),"-")</f>
        <v>1302.5225781792292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632.55755996325479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160.15595078369262</v>
      </c>
      <c r="AJ23" s="257">
        <f t="shared" si="20"/>
        <v>0</v>
      </c>
      <c r="AK23" s="259">
        <f t="shared" si="20"/>
        <v>0</v>
      </c>
      <c r="AL23" s="254">
        <f t="shared" si="20"/>
        <v>2.8439429083742445</v>
      </c>
      <c r="AM23" s="255">
        <f t="shared" si="20"/>
        <v>13.883115586214721</v>
      </c>
      <c r="AN23" s="255">
        <f t="shared" si="20"/>
        <v>0.10415219536252732</v>
      </c>
      <c r="AO23" s="256">
        <f t="shared" si="20"/>
        <v>4.6283734849027045</v>
      </c>
      <c r="AP23" s="296" t="str">
        <f t="shared" si="20"/>
        <v>-</v>
      </c>
      <c r="AQ23" s="297">
        <f t="shared" si="20"/>
        <v>0.30817248568473438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VVACm6lds7X3eT1wwmiTxGlr2lmJbThoU0QEyQgfame6XI/OAhtO7J7CQZ0iMSes7l3wfoFmNQA98z35OzzGQ==" saltValue="MiCSWQlR4+ZXncacFcYE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TOLEDO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-0.43981481481481483</v>
      </c>
      <c r="I9" s="360">
        <f>IF(ISNUMBER((Tasas!C9-Datos!BE9)/Datos!BE9),(Tasas!C9-Datos!BE9)/Datos!BE9," - ")</f>
        <v>0.68611251930705164</v>
      </c>
      <c r="J9" s="359">
        <f>IF(ISNUMBER((Tasas!D9-Datos!BF9)/Datos!BF9),(Tasas!D9-Datos!BF9)/Datos!BF9," - ")</f>
        <v>-0.18993879112471304</v>
      </c>
      <c r="K9" s="361">
        <f>IF(ISNUMBER((Tasas!E9-Datos!BG9)/Datos!BG9),(Tasas!E9-Datos!BG9)/Datos!BG9," - ")</f>
        <v>0.50872397220232435</v>
      </c>
      <c r="M9" t="e">
        <f>IF(Monitorios="SI",Datos!CE9,0)</f>
        <v>#REF!</v>
      </c>
      <c r="N9" t="e">
        <f>IF(Monitorios="SI",Datos!CF9,0)</f>
        <v>#REF!</v>
      </c>
      <c r="O9" t="e">
        <f>IF(Monitorios="SI",Datos!CG9,0)</f>
        <v>#REF!</v>
      </c>
      <c r="P9" t="e">
        <f>IF(Monitorios="SI",Datos!CH9,0)</f>
        <v>#REF!</v>
      </c>
      <c r="Q9">
        <f>IF(J_V="SI",0,Datos!AG9)</f>
        <v>223</v>
      </c>
      <c r="R9">
        <f>IF(J_V="SI",0,Datos!AH9)</f>
        <v>70</v>
      </c>
      <c r="S9">
        <f>IF(J_V="SI",0,Datos!AI9)</f>
        <v>86</v>
      </c>
      <c r="T9">
        <f>IF(J_V="SI",0,Datos!AJ9)</f>
        <v>207</v>
      </c>
    </row>
    <row r="10" spans="2:20" ht="14.25">
      <c r="B10" s="280" t="s">
        <v>273</v>
      </c>
      <c r="C10" s="7" t="str">
        <f>Datos!A10</f>
        <v>Jdos. Violencia contra la mujer</v>
      </c>
      <c r="D10" s="362">
        <f>IF(ISNUMBER((Datos!I10-Datos!S10)/Datos!S10),(Datos!I10-Datos!S10)/Datos!S10," - ")</f>
        <v>5.6818181818181816E-2</v>
      </c>
      <c r="E10" s="358">
        <f>IF(ISNUMBER((Datos!J10-Datos!T10)/Datos!T10),(Datos!J10-Datos!T10)/Datos!T10," - ")</f>
        <v>-0.6875</v>
      </c>
      <c r="F10" s="358">
        <f>IF(ISNUMBER((Datos!K10-Datos!U10)/Datos!U10),(Datos!K10-Datos!U10)/Datos!U10," - ")</f>
        <v>-0.5</v>
      </c>
      <c r="G10" s="359">
        <f>IF(ISNUMBER((Datos!L10-Datos!V10)/Datos!V10),(Datos!L10-Datos!V10)/Datos!V10," - ")</f>
        <v>0</v>
      </c>
      <c r="H10" s="235">
        <f>IF(ISNUMBER((Datos!M10-Datos!W10)/Datos!W10),(Datos!M10-Datos!W10)/Datos!W10," - ")</f>
        <v>-1</v>
      </c>
      <c r="I10" s="360">
        <f>IF(ISNUMBER((Tasas!C10-Datos!BE10)/Datos!BE10),(Tasas!C10-Datos!BE10)/Datos!BE10," - ")</f>
        <v>1</v>
      </c>
      <c r="J10" s="359">
        <f>IF(ISNUMBER((Tasas!D10-Datos!BF10)/Datos!BF10),(Tasas!D10-Datos!BF10)/Datos!BF10," - ")</f>
        <v>-1</v>
      </c>
      <c r="K10" s="361">
        <f>IF(ISNUMBER((Tasas!E10-Datos!BG10)/Datos!BG10),(Tasas!E10-Datos!BG10)/Datos!BG10," - ")</f>
        <v>0.88461538461538458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-0.47435897435897434</v>
      </c>
      <c r="I12" s="360">
        <f>IF(ISNUMBER((Tasas!C12-Datos!BE12)/Datos!BE12),(Tasas!C12-Datos!BE12)/Datos!BE12," - ")</f>
        <v>0.19965427830596374</v>
      </c>
      <c r="J12" s="359">
        <f>IF(ISNUMBER((Tasas!D12-Datos!BF12)/Datos!BF12),(Tasas!D12-Datos!BF12)/Datos!BF12," - ")</f>
        <v>-0.33333333333333337</v>
      </c>
      <c r="K12" s="361">
        <f>IF(ISNUMBER((Tasas!E12-Datos!BG12)/Datos!BG12),(Tasas!E12-Datos!BG12)/Datos!BG12," - ")</f>
        <v>0.14797611147976109</v>
      </c>
      <c r="M12" t="e">
        <f>IF(Monitorios="SI",Datos!CE12,0)</f>
        <v>#REF!</v>
      </c>
      <c r="N12" t="e">
        <f>IF(Monitorios="SI",Datos!CF12,0)</f>
        <v>#REF!</v>
      </c>
      <c r="O12" t="e">
        <f>IF(Monitorios="SI",Datos!CG12,0)</f>
        <v>#REF!</v>
      </c>
      <c r="P12" t="e">
        <f>IF(Monitorios="SI",Datos!CH12,0)</f>
        <v>#REF!</v>
      </c>
      <c r="Q12">
        <f>IF(J_V="SI",0,Datos!AG12)</f>
        <v>78</v>
      </c>
      <c r="R12">
        <f>IF(J_V="SI",0,Datos!AH12)</f>
        <v>25</v>
      </c>
      <c r="S12">
        <f>IF(J_V="SI",0,Datos!AI12)</f>
        <v>48</v>
      </c>
      <c r="T12">
        <f>IF(J_V="SI",0,Datos!AJ12)</f>
        <v>55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-0.44733242134062928</v>
      </c>
      <c r="I14" s="367">
        <f>IF(ISNUMBER((Tasas!C14-Datos!BE14)/Datos!BE14),(Tasas!C14-Datos!BE14)/Datos!BE14," - ")</f>
        <v>0.57692902066486984</v>
      </c>
      <c r="J14" s="365">
        <f>IF(ISNUMBER((Tasas!D14-Datos!BF14)/Datos!BF14),(Tasas!D14-Datos!BF14)/Datos!BF14," - ")</f>
        <v>-0.21358069893897125</v>
      </c>
      <c r="K14" s="368">
        <f>IF(ISNUMBER((Tasas!E14-Datos!BG14)/Datos!BG14),(Tasas!E14-Datos!BG14)/Datos!BG14," - ")</f>
        <v>0.43501831301834426</v>
      </c>
      <c r="M14" t="e">
        <f>IF(Monitorios="SI",Datos!CE14,0)</f>
        <v>#REF!</v>
      </c>
      <c r="N14" t="e">
        <f>IF(Monitorios="SI",Datos!CF14,0)</f>
        <v>#REF!</v>
      </c>
      <c r="O14" t="e">
        <f>IF(Monitorios="SI",Datos!CG14,0)</f>
        <v>#REF!</v>
      </c>
      <c r="P14" t="e">
        <f>IF(Monitorios="SI",Datos!CH14,0)</f>
        <v>#REF!</v>
      </c>
      <c r="Q14">
        <f>IF(J_V="SI",0,Datos!AG14)</f>
        <v>301</v>
      </c>
      <c r="R14">
        <f>IF(J_V="SI",0,Datos!AH14)</f>
        <v>95</v>
      </c>
      <c r="S14">
        <f>IF(J_V="SI",0,Datos!AI14)</f>
        <v>134</v>
      </c>
      <c r="T14">
        <f>IF(J_V="SI",0,Datos!AJ14)</f>
        <v>262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1.8836045056320401</v>
      </c>
      <c r="E16" s="358">
        <f>IF(ISNUMBER(
   IF(D_I="SI",(Datos!J16-Datos!T16)/Datos!T16,(Datos!J16+Datos!AD16-(Datos!T16+Datos!AL16))/(Datos!T16+Datos!AL16))
     ),IF(D_I="SI",(Datos!J16-Datos!T16)/Datos!T16,(Datos!J16+Datos!AD16-(Datos!T16+Datos!AL16))/(Datos!T16+Datos!AL16))," - ")</f>
        <v>0.16925592804578904</v>
      </c>
      <c r="F16" s="358">
        <f>IF(ISNUMBER(
   IF(D_I="SI",(Datos!K16-Datos!U16)/Datos!U16,(Datos!K16+Datos!AE16-(Datos!U16+Datos!AM16))/(Datos!U16+Datos!AM16))
     ),IF(D_I="SI",(Datos!K16-Datos!U16)/Datos!U16,(Datos!K16+Datos!AE16-(Datos!U16+Datos!AM16))/(Datos!U16+Datos!AM16))," - ")</f>
        <v>0.6393939393939394</v>
      </c>
      <c r="G16" s="359">
        <f>IF(ISNUMBER(
   IF(D_I="SI",(Datos!L16-Datos!V16)/Datos!V16,(Datos!L16+Datos!AF16-(Datos!V16+Datos!AN16))/(Datos!V16+Datos!AN16))
     ),IF(D_I="SI",(Datos!L16-Datos!V16)/Datos!V16,(Datos!L16+Datos!AF16-(Datos!V16+Datos!AN16))/(Datos!V16+Datos!AN16))," - ")</f>
        <v>0.94713656387665202</v>
      </c>
      <c r="H16" s="235">
        <f>IF(ISNUMBER((Datos!M16-Datos!W16)/Datos!W16),(Datos!M16-Datos!W16)/Datos!W16," - ")</f>
        <v>0.13223140495867769</v>
      </c>
      <c r="I16" s="360">
        <f>IF(ISNUMBER((Tasas!C16-Datos!BE16)/Datos!BE16),(Tasas!C16-Datos!BE16)/Datos!BE16," - ")</f>
        <v>0.18771731253104471</v>
      </c>
      <c r="J16" s="359">
        <f>IF(ISNUMBER((Tasas!D16-Datos!BF16)/Datos!BF16),(Tasas!D16-Datos!BF16)/Datos!BF16," - ")</f>
        <v>-0.30935977146698035</v>
      </c>
      <c r="K16" s="361">
        <f>IF(ISNUMBER((Tasas!E16-Datos!BG16)/Datos!BG16),(Tasas!E16-Datos!BG16)/Datos!BG16," - ")</f>
        <v>0.12644459924197965</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-0.43006993006993005</v>
      </c>
      <c r="E17" s="358">
        <f>IF(ISNUMBER(
   IF(D_I="SI",(Datos!J17-Datos!T17)/Datos!T17,(Datos!J17+Datos!AD17-(Datos!T17+Datos!AL17))/(Datos!T17+Datos!AL17))
     ),IF(D_I="SI",(Datos!J17-Datos!T17)/Datos!T17,(Datos!J17+Datos!AD17-(Datos!T17+Datos!AL17))/(Datos!T17+Datos!AL17))," - ")</f>
        <v>-0.65714285714285714</v>
      </c>
      <c r="F17" s="358">
        <f>IF(ISNUMBER(
   IF(D_I="SI",(Datos!K17-Datos!U17)/Datos!U17,(Datos!K17+Datos!AE17-(Datos!U17+Datos!AM17))/(Datos!U17+Datos!AM17))
     ),IF(D_I="SI",(Datos!K17-Datos!U17)/Datos!U17,(Datos!K17+Datos!AE17-(Datos!U17+Datos!AM17))/(Datos!U17+Datos!AM17))," - ")</f>
        <v>-0.13600000000000001</v>
      </c>
      <c r="G17" s="359">
        <f>IF(ISNUMBER(
   IF(D_I="SI",(Datos!L17-Datos!V17)/Datos!V17,(Datos!L17+Datos!AF17-(Datos!V17+Datos!AN17))/(Datos!V17+Datos!AN17))
     ),IF(D_I="SI",(Datos!L17-Datos!V17)/Datos!V17,(Datos!L17+Datos!AF17-(Datos!V17+Datos!AN17))/(Datos!V17+Datos!AN17))," - ")</f>
        <v>-0.58181818181818179</v>
      </c>
      <c r="H17" s="235">
        <f>IF(ISNUMBER((Datos!M17-Datos!W17)/Datos!W17),(Datos!M17-Datos!W17)/Datos!W17," - ")</f>
        <v>-0.58695652173913049</v>
      </c>
      <c r="I17" s="360">
        <f>IF(ISNUMBER((Tasas!C17-Datos!BE17)/Datos!BE17),(Tasas!C17-Datos!BE17)/Datos!BE17," - ")</f>
        <v>-0.515993265993266</v>
      </c>
      <c r="J17" s="359">
        <f>IF(ISNUMBER((Tasas!D17-Datos!BF17)/Datos!BF17),(Tasas!D17-Datos!BF17)/Datos!BF17," - ")</f>
        <v>-0.5219404186795491</v>
      </c>
      <c r="K17" s="361">
        <f>IF(ISNUMBER((Tasas!E17-Datos!BG17)/Datos!BG17),(Tasas!E17-Datos!BG17)/Datos!BG17," - ")</f>
        <v>-0.3624529253032055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1.0208333333333333</v>
      </c>
      <c r="E18" s="358">
        <f>IF(ISNUMBER(
   IF(D_I="SI",(Datos!J18-Datos!T18)/Datos!T18,(Datos!J18+Datos!AD18-(Datos!T18+Datos!AL18))/(Datos!T18+Datos!AL18))
     ),IF(D_I="SI",(Datos!J18-Datos!T18)/Datos!T18,(Datos!J18+Datos!AD18-(Datos!T18+Datos!AL18))/(Datos!T18+Datos!AL18))," - ")</f>
        <v>-0.40540540540540543</v>
      </c>
      <c r="F18" s="358">
        <f>IF(ISNUMBER(
   IF(D_I="SI",(Datos!K18-Datos!U18)/Datos!U18,(Datos!K18+Datos!AE18-(Datos!U18+Datos!AM18))/(Datos!U18+Datos!AM18))
     ),IF(D_I="SI",(Datos!K18-Datos!U18)/Datos!U18,(Datos!K18+Datos!AE18-(Datos!U18+Datos!AM18))/(Datos!U18+Datos!AM18))," - ")</f>
        <v>-0.29906542056074764</v>
      </c>
      <c r="G18" s="359">
        <f>IF(ISNUMBER(
   IF(D_I="SI",(Datos!L18-Datos!V18)/Datos!V18,(Datos!L18+Datos!AF18-(Datos!V18+Datos!AN18))/(Datos!V18+Datos!AN18))
     ),IF(D_I="SI",(Datos!L18-Datos!V18)/Datos!V18,(Datos!L18+Datos!AF18-(Datos!V18+Datos!AN18))/(Datos!V18+Datos!AN18))," - ")</f>
        <v>0.69230769230769229</v>
      </c>
      <c r="H18" s="235">
        <f>IF(ISNUMBER((Datos!M18-Datos!W18)/Datos!W18),(Datos!M18-Datos!W18)/Datos!W18," - ")</f>
        <v>-0.19047619047619047</v>
      </c>
      <c r="I18" s="360">
        <f>IF(ISNUMBER((Tasas!C18-Datos!BE18)/Datos!BE18),(Tasas!C18-Datos!BE18)/Datos!BE18," - ")</f>
        <v>1.4143589743589742</v>
      </c>
      <c r="J18" s="359">
        <f>IF(ISNUMBER((Tasas!D18-Datos!BF18)/Datos!BF18),(Tasas!D18-Datos!BF18)/Datos!BF18," - ")</f>
        <v>0.1549206349206349</v>
      </c>
      <c r="K18" s="361">
        <f>IF(ISNUMBER((Tasas!E18-Datos!BG18)/Datos!BG18),(Tasas!E18-Datos!BG18)/Datos!BG18," - ")</f>
        <v>0.46255765199161419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0.5334003013561025</v>
      </c>
      <c r="E20" s="364">
        <f>IF(ISNUMBER(
   IF(D_I="SI",(Datos!J20-Datos!T20)/Datos!T20,(Datos!J20+Datos!AD20-(Datos!T20+Datos!AL20))/(Datos!T20+Datos!AL20))
     ),IF(D_I="SI",(Datos!J20-Datos!T20)/Datos!T20,(Datos!J20+Datos!AD20-(Datos!T20+Datos!AL20))/(Datos!T20+Datos!AL20))," - ")</f>
        <v>6.4628214037526055E-2</v>
      </c>
      <c r="F20" s="364">
        <f>IF(ISNUMBER(
   IF(D_I="SI",(Datos!K20-Datos!U20)/Datos!U20,(Datos!K20+Datos!AE20-(Datos!U20+Datos!AM20))/(Datos!U20+Datos!AM20))
     ),IF(D_I="SI",(Datos!K20-Datos!U20)/Datos!U20,(Datos!K20+Datos!AE20-(Datos!U20+Datos!AM20))/(Datos!U20+Datos!AM20))," - ")</f>
        <v>0.29684763572679512</v>
      </c>
      <c r="G20" s="365">
        <f>IF(ISNUMBER(
   IF(D_I="SI",(Datos!L20-Datos!V20)/Datos!V20,(Datos!L20+Datos!AF20-(Datos!V20+Datos!AN20))/(Datos!V20+Datos!AN20))
     ),IF(D_I="SI",(Datos!L20-Datos!V20)/Datos!V20,(Datos!L20+Datos!AF20-(Datos!V20+Datos!AN20))/(Datos!V20+Datos!AN20))," - ")</f>
        <v>0.35483870967741937</v>
      </c>
      <c r="H20" s="366">
        <f>IF(ISNUMBER((Datos!M20-Datos!W20)/Datos!W20),(Datos!M20-Datos!W20)/Datos!W20," - ")</f>
        <v>-7.9787234042553196E-2</v>
      </c>
      <c r="I20" s="367">
        <f>IF(ISNUMBER((Tasas!C20-Datos!BE20)/Datos!BE20),(Tasas!C20-Datos!BE20)/Datos!BE20," - ")</f>
        <v>4.4716952364357014E-2</v>
      </c>
      <c r="J20" s="365">
        <f>IF(ISNUMBER((Tasas!D20-Datos!BF20)/Datos!BF20),(Tasas!D20-Datos!BF20)/Datos!BF20," - ")</f>
        <v>-0.29042337695921383</v>
      </c>
      <c r="K20" s="368">
        <f>IF(ISNUMBER((Tasas!E20-Datos!BG20)/Datos!BG20),(Tasas!E20-Datos!BG20)/Datos!BG20," - ")</f>
        <v>3.075693477931344E-2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0.19258777633289986</v>
      </c>
      <c r="E21" s="373">
        <f>IF(ISNUMBER(
   IF(J_V="SI",(Datos!J21-Datos!T21)/Datos!T21,(Datos!J21+Datos!Z21-(Datos!T21+Datos!AH21))/(Datos!T21+Datos!AH21))
     ),IF(J_V="SI",(Datos!J21-Datos!T21)/Datos!T21,(Datos!J21+Datos!Z21-(Datos!T21+Datos!AH21))/(Datos!T21+Datos!AH21))," - ")</f>
        <v>4.9382716049382713E-2</v>
      </c>
      <c r="F21" s="373">
        <f>IF(ISNUMBER(
   IF(J_V="SI",(Datos!K21-Datos!U21)/Datos!U21,(Datos!K21+Datos!AA21-(Datos!U21+Datos!AI21))/(Datos!U21+Datos!AI21))
     ),IF(J_V="SI",(Datos!K21-Datos!U21)/Datos!U21,(Datos!K21+Datos!AA21-(Datos!U21+Datos!AI21))/(Datos!U21+Datos!AI21))," - ")</f>
        <v>-5.603311047437122E-2</v>
      </c>
      <c r="G21" s="374">
        <f>IF(ISNUMBER(
   IF(J_V="SI",(Datos!L21-Datos!V21)/Datos!V21,(Datos!L21+Datos!AB21-(Datos!V21+Datos!AJ21))/(Datos!V21+Datos!AJ21))
     ),IF(J_V="SI",(Datos!L21-Datos!V21)/Datos!V21,(Datos!L21+Datos!AB21-(Datos!V21+Datos!AJ21))/(Datos!V21+Datos!AJ21))," - ")</f>
        <v>0.22667020148462355</v>
      </c>
      <c r="H21" s="375">
        <f>IF(ISNUMBER((Datos!M21-Datos!W21)/Datos!W21),(Datos!M21-Datos!W21)/Datos!W21," - ")</f>
        <v>-0.37214363438520132</v>
      </c>
      <c r="I21" s="372">
        <f>IF(ISNUMBER((Tasas!C21-Datos!BE21)/Datos!BE21),(Tasas!C21-Datos!BE21)/Datos!BE21," - ")</f>
        <v>0.29948435172452026</v>
      </c>
      <c r="J21" s="373">
        <f>IF(ISNUMBER((Tasas!D21-Datos!BF21)/Datos!BF21),(Tasas!D21-Datos!BF21)/Datos!BF21," - ")</f>
        <v>-0.30539743982829981</v>
      </c>
      <c r="K21" s="374">
        <f>IF(ISNUMBER((Tasas!E21-Datos!BG21)/Datos!BG21),(Tasas!E21-Datos!BG21)/Datos!BG21," - ")</f>
        <v>0.22083538793803312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0.8922489855993444</v>
      </c>
      <c r="E23" s="283">
        <f t="shared" si="1"/>
        <v>0.40059960515989984</v>
      </c>
      <c r="F23" s="283">
        <f t="shared" si="1"/>
        <v>0.46229832837615686</v>
      </c>
      <c r="G23" s="284">
        <f t="shared" si="1"/>
        <v>0.60036846286417478</v>
      </c>
      <c r="H23" s="290">
        <f t="shared" si="1"/>
        <v>0.34484030593269061</v>
      </c>
      <c r="I23" s="282">
        <f t="shared" si="1"/>
        <v>0.60157003731400494</v>
      </c>
      <c r="J23" s="283">
        <f t="shared" si="1"/>
        <v>0.32853716352510148</v>
      </c>
      <c r="K23" s="284">
        <f t="shared" si="1"/>
        <v>0.37627967777503601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j3Sm8w8ul+fxKiJB/HGUwPXyS4B9NTCPFdU4hTWVD693lKqHF+Mlb6jCcYqhiVu3bNOh2YARupU25v9i7eSyg==" saltValue="JOaYRgnH4qbjLf/+HHyuy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